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<sst xmlns="http://schemas.openxmlformats.org/spreadsheetml/2006/main" count="88" uniqueCount="84">
  <si>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Wire and Bus Sizes and Ampacities</t>
  </si>
  <si>
    <t>A/SqMil X-sect</t>
  </si>
  <si>
    <t>A/CM</t>
  </si>
  <si>
    <t>CM/A</t>
  </si>
  <si>
    <t>Watts/SqIn @25C</t>
  </si>
  <si>
    <t>AWG</t>
  </si>
  <si>
    <t>Dia</t>
  </si>
  <si>
    <t>XSect-Area</t>
  </si>
  <si>
    <t>SurfArea</t>
  </si>
  <si>
    <t>Ohms/Ft-25C</t>
  </si>
  <si>
    <t>Ohms/Ft-100C</t>
  </si>
  <si>
    <t>RatedAmps</t>
  </si>
  <si>
    <t>W/Ft @25C</t>
  </si>
  <si>
    <t>W/Ft @100C</t>
  </si>
  <si>
    <t>Lb/Ft</t>
  </si>
  <si>
    <t>Bus Deg C</t>
  </si>
  <si>
    <t>Aw (cm^2)</t>
  </si>
  <si>
    <t>AWG2Aw</t>
  </si>
  <si>
    <t>Aw2AWG</t>
  </si>
  <si>
    <t>mils</t>
  </si>
  <si>
    <t>mm</t>
  </si>
  <si>
    <t>SqMils</t>
  </si>
  <si>
    <t>SqIn/Ft</t>
  </si>
  <si>
    <t>3/16x3/4</t>
  </si>
  <si>
    <t>3/16x1.5</t>
  </si>
  <si>
    <t>3/16x2</t>
  </si>
  <si>
    <t>1/4x4</t>
  </si>
  <si>
    <t>1/4x3</t>
  </si>
  <si>
    <t>1/4x2</t>
  </si>
  <si>
    <t>3/8x3/4</t>
  </si>
  <si>
    <t>3/8x3</t>
  </si>
  <si>
    <t>3/8x4</t>
  </si>
  <si>
    <t>1/4x1</t>
  </si>
  <si>
    <t>3/8x2</t>
  </si>
  <si>
    <t>1/2x1/2</t>
  </si>
  <si>
    <t>1/2x4</t>
  </si>
  <si>
    <t>1/2x6</t>
  </si>
  <si>
    <t>1/8x1</t>
  </si>
  <si>
    <t>1/16x0.3</t>
  </si>
  <si>
    <t>0.025x1/4</t>
  </si>
  <si>
    <t>Wire Deg C</t>
  </si>
  <si>
    <t>0000</t>
  </si>
  <si>
    <t>000</t>
  </si>
  <si>
    <t>00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</si>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</sst>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/D/YYYY"/>
    <numFmt numFmtId="166" formatCode="0.0000"/>
    <numFmt numFmtId="167" formatCode="@"/>
    <numFmt numFmtId="168" formatCode="0.000"/>
    <numFmt numFmtId="169" formatCode="0.0"/>
    <numFmt numFmtId="170" formatCode="0.00000"/>
    <numFmt numFmtId="171" formatCode="0"/>
    <numFmt numFmtId="172" formatCode="0.00"/>
  </numFmts>
  <fonts count="5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right"/>
    </xf>
    <xf numFmtId="166" fontId="3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="90" zoomScaleNormal="90" workbookViewId="0" topLeftCell="A1">
      <pane xSplit="1252" ySplit="1335" topLeftCell="D1" activePane="bottomRight" state="split"/>
      <selection pane="topLeft" activeCell="A1" sqref="A1"/>
      <selection pane="topRight" activeCell="D1" sqref="D1"/>
      <selection pane="bottomLeft" activeCell="A1" sqref="A1"/>
      <selection pane="bottomRight" activeCell="N20" sqref="N20"/>
    </sheetView>
  </sheetViews>
  <sheetFormatPr defaultColWidth="9.140625" defaultRowHeight="12.75"/>
  <cols>
    <col min="1" max="1" width="9.421875" style="0" customWidth="1"/>
    <col min="2" max="2" width="6.7109375" style="0" customWidth="1"/>
    <col min="3" max="3" width="7.28125" style="0" customWidth="1"/>
    <col min="4" max="4" width="11.140625" style="0" customWidth="1"/>
    <col min="5" max="5" width="10.7109375" style="0" customWidth="1"/>
    <col min="6" max="6" width="12.57421875" style="0" customWidth="1"/>
    <col min="7" max="7" width="14.00390625" style="0" customWidth="1"/>
    <col min="8" max="8" width="12.00390625" style="0" customWidth="1"/>
    <col min="9" max="9" width="10.421875" style="0" customWidth="1"/>
    <col min="10" max="10" width="12.00390625" style="0" customWidth="1"/>
    <col min="12" max="12" width="13.28125" style="0" customWidth="1"/>
    <col min="13" max="14" width="9.57421875" style="0" customWidth="1"/>
    <col min="16" max="16" width="9.7109375" style="0" customWidth="1"/>
  </cols>
  <sheetData>
    <row r="1" spans="1:12" ht="12.75">
      <c r="A1" s="1" t="s">
        <v>0</v>
      </c>
      <c r="B1" s="1"/>
      <c r="C1" s="1"/>
      <c r="D1" s="1"/>
      <c r="G1" s="2">
        <v>42193</v>
      </c>
      <c r="H1" s="3" t="s">
        <v>1</v>
      </c>
      <c r="I1" t="s">
        <v>2</v>
      </c>
      <c r="J1" t="s">
        <v>3</v>
      </c>
      <c r="L1" s="3" t="s">
        <v>4</v>
      </c>
    </row>
    <row r="2" spans="8:12" ht="12.75">
      <c r="H2" s="4">
        <v>0.00372</v>
      </c>
      <c r="I2" s="5">
        <f>H2*1.273</f>
        <v>0.004735560000000001</v>
      </c>
      <c r="J2" s="5">
        <f>1/I2</f>
        <v>211.16826732213295</v>
      </c>
      <c r="L2" s="4">
        <v>0.24</v>
      </c>
    </row>
    <row r="3" spans="1:17" ht="12.75">
      <c r="A3" s="6" t="s">
        <v>5</v>
      </c>
      <c r="B3" s="7" t="s">
        <v>6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6" t="s">
        <v>12</v>
      </c>
      <c r="J3" s="6" t="s">
        <v>13</v>
      </c>
      <c r="K3" s="7" t="s">
        <v>14</v>
      </c>
      <c r="L3" s="7" t="s">
        <v>11</v>
      </c>
      <c r="M3" s="8" t="s">
        <v>15</v>
      </c>
      <c r="N3" s="8" t="s">
        <v>15</v>
      </c>
      <c r="O3" s="6" t="s">
        <v>16</v>
      </c>
      <c r="P3" s="6" t="s">
        <v>17</v>
      </c>
      <c r="Q3" s="6" t="s">
        <v>18</v>
      </c>
    </row>
    <row r="4" spans="2:14" ht="12.75">
      <c r="B4" s="9" t="s">
        <v>19</v>
      </c>
      <c r="C4" s="9" t="s">
        <v>20</v>
      </c>
      <c r="D4" s="9" t="s">
        <v>21</v>
      </c>
      <c r="E4" s="9" t="s">
        <v>22</v>
      </c>
      <c r="M4" s="6">
        <v>30</v>
      </c>
      <c r="N4" s="10">
        <v>100</v>
      </c>
    </row>
    <row r="5" s="11" customFormat="1" ht="12.75">
      <c r="E5" s="3"/>
    </row>
    <row r="6" spans="1:15" s="11" customFormat="1" ht="12.75">
      <c r="A6" s="12" t="s">
        <v>23</v>
      </c>
      <c r="D6" s="13">
        <f>750*3000/16</f>
        <v>140625</v>
      </c>
      <c r="E6" s="14">
        <f>(2*0.1875+2*0.75)*12</f>
        <v>22.5</v>
      </c>
      <c r="F6" s="15">
        <f>$F$40/(D6/$D$40)</f>
        <v>5.792404265939537E-05</v>
      </c>
      <c r="G6" s="15">
        <f>F6+F6*0.006*75</f>
        <v>8.398986185612328E-05</v>
      </c>
      <c r="H6" s="16">
        <f>D6*$H$2</f>
        <v>523.125</v>
      </c>
      <c r="I6" s="5">
        <f>H6^2*F6</f>
        <v>15.851479938222639</v>
      </c>
      <c r="J6" s="5">
        <f>H6^2*G6</f>
        <v>22.984645910422824</v>
      </c>
      <c r="K6" s="17">
        <f>$K$40*D6/$D$40</f>
        <v>0.5415527570210418</v>
      </c>
      <c r="L6" s="18">
        <f>SQRT($L$2*E6/F6)</f>
        <v>305.3285727023512</v>
      </c>
      <c r="M6">
        <v>270</v>
      </c>
      <c r="N6" s="19">
        <f>SQRT($N$4/$M$4)*M6</f>
        <v>492.9503017546495</v>
      </c>
      <c r="O6" s="15">
        <f>D6*0.00254*0.00254</f>
        <v>0.9072562500000001</v>
      </c>
    </row>
    <row r="7" spans="1:15" s="11" customFormat="1" ht="12.75">
      <c r="A7" s="12" t="s">
        <v>24</v>
      </c>
      <c r="D7" s="13">
        <f>1500*3000/16</f>
        <v>281250</v>
      </c>
      <c r="E7" s="14">
        <f>(2*0.1875+2*1.5)*12</f>
        <v>40.5</v>
      </c>
      <c r="F7" s="15">
        <f>$F$40/(D7/$D$40)</f>
        <v>2.8962021329697684E-05</v>
      </c>
      <c r="G7" s="15">
        <f>F7+F7*0.006*75</f>
        <v>4.199493092806164E-05</v>
      </c>
      <c r="H7" s="16">
        <f>D7*$H$2</f>
        <v>1046.25</v>
      </c>
      <c r="I7" s="5">
        <f>H7^2*F7</f>
        <v>31.702959876445277</v>
      </c>
      <c r="J7" s="5">
        <f>H7^2*G7</f>
        <v>45.96929182084565</v>
      </c>
      <c r="K7" s="17">
        <f>$K$40*D7/$D$40</f>
        <v>1.0831055140420836</v>
      </c>
      <c r="L7" s="18">
        <f>SQRT($L$2*E7/F7)</f>
        <v>579.3202346806452</v>
      </c>
      <c r="M7">
        <v>480</v>
      </c>
      <c r="N7" s="19">
        <f>SQRT($N$4/$M$4)*M7</f>
        <v>876.3560920082658</v>
      </c>
      <c r="O7" s="15">
        <f>D7*0.00254*0.00254</f>
        <v>1.8145125000000002</v>
      </c>
    </row>
    <row r="8" spans="1:15" s="11" customFormat="1" ht="12.75">
      <c r="A8" s="12" t="s">
        <v>25</v>
      </c>
      <c r="D8" s="13">
        <f>2000*3000/16</f>
        <v>375000</v>
      </c>
      <c r="E8" s="14">
        <f>(2*0.1875+2*1.5)*12</f>
        <v>40.5</v>
      </c>
      <c r="F8" s="15">
        <f>$F$40/(D8/$D$40)</f>
        <v>2.172151599727326E-05</v>
      </c>
      <c r="G8" s="15">
        <f>F8+F8*0.006*75</f>
        <v>3.149619819604623E-05</v>
      </c>
      <c r="H8" s="16">
        <f>D8*$H$2</f>
        <v>1395</v>
      </c>
      <c r="I8" s="5">
        <f>H8^2*F8</f>
        <v>42.2706131685937</v>
      </c>
      <c r="J8" s="5">
        <f>H8^2*G8</f>
        <v>61.292389094460866</v>
      </c>
      <c r="K8" s="17">
        <f>$K$40*D8/$D$40</f>
        <v>1.4441406853894447</v>
      </c>
      <c r="L8" s="18">
        <f>SQRT($L$2*E8/F8)</f>
        <v>668.9413868797354</v>
      </c>
      <c r="M8">
        <v>610</v>
      </c>
      <c r="N8" s="19">
        <f>SQRT($N$4/$M$4)*M8</f>
        <v>1113.7025335938379</v>
      </c>
      <c r="O8" s="15">
        <f>D8*0.00254*0.00254</f>
        <v>2.4193500000000006</v>
      </c>
    </row>
    <row r="9" spans="1:15" ht="12.75">
      <c r="A9" s="12" t="s">
        <v>26</v>
      </c>
      <c r="D9" s="15">
        <f>250*4000</f>
        <v>1000000</v>
      </c>
      <c r="E9" s="14">
        <f>(2*0.25+2*4)*12</f>
        <v>102</v>
      </c>
      <c r="F9" s="15">
        <f>$F$40/(D9/$D$40)</f>
        <v>8.145568498977475E-06</v>
      </c>
      <c r="G9" s="15">
        <f>F9+F9*0.006*75</f>
        <v>1.1811074323517338E-05</v>
      </c>
      <c r="H9" s="16">
        <f>D9*$H$2</f>
        <v>3720</v>
      </c>
      <c r="I9" s="5">
        <f>H9^2*F9</f>
        <v>112.72163511624989</v>
      </c>
      <c r="J9" s="5">
        <f>H9^2*G9</f>
        <v>163.44637091856234</v>
      </c>
      <c r="K9" s="17">
        <f>$K$40*D9/$D$40</f>
        <v>3.851041827705186</v>
      </c>
      <c r="L9" s="18">
        <f>SQRT($L$2*E9/F9)</f>
        <v>1733.5844654963716</v>
      </c>
      <c r="M9">
        <v>1250</v>
      </c>
      <c r="N9" s="19">
        <f>SQRT($N$4/$M$4)*M9</f>
        <v>2282.1773229381924</v>
      </c>
      <c r="O9" s="15">
        <f>D9*0.00254*0.00254</f>
        <v>6.4516</v>
      </c>
    </row>
    <row r="10" spans="1:15" ht="12.75">
      <c r="A10" s="12" t="s">
        <v>27</v>
      </c>
      <c r="D10" s="15">
        <f>250*3000</f>
        <v>750000</v>
      </c>
      <c r="E10" s="14">
        <f>(2*0.25+2*3)*12</f>
        <v>78</v>
      </c>
      <c r="F10" s="15">
        <f>$F$40/(D10/$D$40)</f>
        <v>1.086075799863663E-05</v>
      </c>
      <c r="G10" s="15">
        <f>F10+F10*0.006*75</f>
        <v>1.5748099098023115E-05</v>
      </c>
      <c r="H10" s="16">
        <f>D10*$H$2</f>
        <v>2790</v>
      </c>
      <c r="I10" s="5">
        <f>H10^2*F10</f>
        <v>84.5412263371874</v>
      </c>
      <c r="J10" s="5">
        <f>H10^2*G10</f>
        <v>122.58477818892173</v>
      </c>
      <c r="K10" s="17">
        <f>$K$40*D10/$D$40</f>
        <v>2.8882813707788895</v>
      </c>
      <c r="L10" s="18">
        <f>SQRT($L$2*E10/F10)</f>
        <v>1312.8734138914497</v>
      </c>
      <c r="M10">
        <v>990</v>
      </c>
      <c r="N10" s="19">
        <f>SQRT($N$4/$M$4)*M10</f>
        <v>1807.4844397670483</v>
      </c>
      <c r="O10" s="15">
        <f>D10*0.00254*0.00254</f>
        <v>4.838700000000001</v>
      </c>
    </row>
    <row r="11" spans="1:15" ht="12.75">
      <c r="A11" s="12" t="s">
        <v>28</v>
      </c>
      <c r="D11" s="15">
        <f>250*2000</f>
        <v>500000</v>
      </c>
      <c r="E11" s="14">
        <f>(2*0.25+2*2)*12</f>
        <v>54</v>
      </c>
      <c r="F11" s="15">
        <f>$F$40/(D11/$D$40)</f>
        <v>1.629113699795495E-05</v>
      </c>
      <c r="G11" s="15">
        <f>F11+F11*0.006*75</f>
        <v>2.3622148647034675E-05</v>
      </c>
      <c r="H11" s="16">
        <f>D11*$H$2</f>
        <v>1860</v>
      </c>
      <c r="I11" s="5">
        <f>H11^2*F11</f>
        <v>56.36081755812494</v>
      </c>
      <c r="J11" s="5">
        <f>H11^2*G11</f>
        <v>81.72318545928117</v>
      </c>
      <c r="K11" s="17">
        <f>$K$40*D11/$D$40</f>
        <v>1.925520913852593</v>
      </c>
      <c r="L11" s="18">
        <f>SQRT($L$2*E11/F11)</f>
        <v>891.9218491729804</v>
      </c>
      <c r="M11">
        <v>710</v>
      </c>
      <c r="N11" s="19">
        <f>SQRT($N$4/$M$4)*M11</f>
        <v>1296.276719428893</v>
      </c>
      <c r="O11" s="15">
        <f>D11*0.00254*0.00254</f>
        <v>3.2258</v>
      </c>
    </row>
    <row r="12" spans="1:15" ht="12.75">
      <c r="A12" s="12" t="s">
        <v>29</v>
      </c>
      <c r="D12" s="15">
        <f>375*750</f>
        <v>281250</v>
      </c>
      <c r="E12" s="14">
        <f>(2*0.375+2*0.75)*12</f>
        <v>27</v>
      </c>
      <c r="F12" s="15">
        <f>$F$40/(D12/$D$40)</f>
        <v>2.8962021329697684E-05</v>
      </c>
      <c r="G12" s="15">
        <f>F12+F12*0.006*75</f>
        <v>4.199493092806164E-05</v>
      </c>
      <c r="H12" s="16">
        <f>D12*$H$2</f>
        <v>1046.25</v>
      </c>
      <c r="I12" s="5">
        <f>H12^2*F12</f>
        <v>31.702959876445277</v>
      </c>
      <c r="J12" s="5">
        <f>H12^2*G12</f>
        <v>45.96929182084565</v>
      </c>
      <c r="K12" s="17">
        <f>$K$40*D12/$D$40</f>
        <v>1.0831055140420836</v>
      </c>
      <c r="L12" s="18">
        <f>SQRT($L$2*E12/F12)</f>
        <v>473.0129908789947</v>
      </c>
      <c r="M12">
        <v>415</v>
      </c>
      <c r="N12" s="19">
        <f>SQRT($N$4/$M$4)*M12</f>
        <v>757.6828712154798</v>
      </c>
      <c r="O12" s="15">
        <f>D12*0.00254*0.00254</f>
        <v>1.8145125000000002</v>
      </c>
    </row>
    <row r="13" spans="1:15" ht="12.75">
      <c r="A13" s="12" t="s">
        <v>30</v>
      </c>
      <c r="D13" s="15">
        <f>375*3000</f>
        <v>1125000</v>
      </c>
      <c r="E13" s="14">
        <f>(2*0.375+2*3)*12</f>
        <v>81</v>
      </c>
      <c r="F13" s="15">
        <f>$F$40/(D13/$D$40)</f>
        <v>7.240505332424421E-06</v>
      </c>
      <c r="G13" s="15">
        <f>F13+F13*0.006*75</f>
        <v>1.049873273201541E-05</v>
      </c>
      <c r="H13" s="16">
        <f>D13*$H$2</f>
        <v>4185</v>
      </c>
      <c r="I13" s="5">
        <f>H13^2*F13</f>
        <v>126.81183950578111</v>
      </c>
      <c r="J13" s="5">
        <f>H13^2*G13</f>
        <v>183.8771672833826</v>
      </c>
      <c r="K13" s="17">
        <f>$K$40*D13/$D$40</f>
        <v>4.332422056168334</v>
      </c>
      <c r="L13" s="18">
        <f>SQRT($L$2*E13/F13)</f>
        <v>1638.5650656850653</v>
      </c>
      <c r="M13">
        <v>415</v>
      </c>
      <c r="N13" s="19">
        <f>SQRT($N$4/$M$4)*M13</f>
        <v>757.6828712154798</v>
      </c>
      <c r="O13" s="15">
        <f>D13*0.00254*0.00254</f>
        <v>7.258050000000001</v>
      </c>
    </row>
    <row r="14" spans="1:15" ht="12.75">
      <c r="A14" s="12" t="s">
        <v>31</v>
      </c>
      <c r="D14" s="15">
        <f>375*4000</f>
        <v>1500000</v>
      </c>
      <c r="E14" s="14">
        <f>(2*0.375+2*4)*12</f>
        <v>105</v>
      </c>
      <c r="F14" s="15">
        <f>$F$40/(D14/$D$40)</f>
        <v>5.430378999318315E-06</v>
      </c>
      <c r="G14" s="15">
        <f>F14+F14*0.006*75</f>
        <v>7.874049549011557E-06</v>
      </c>
      <c r="H14" s="16">
        <f>D14*$H$2</f>
        <v>5580</v>
      </c>
      <c r="I14" s="5">
        <f>H14^2*F14</f>
        <v>169.0824526743748</v>
      </c>
      <c r="J14" s="5">
        <f>H14^2*G14</f>
        <v>245.16955637784346</v>
      </c>
      <c r="K14" s="17">
        <f>$K$40*D14/$D$40</f>
        <v>5.776562741557779</v>
      </c>
      <c r="L14" s="18">
        <f>SQRT($L$2*E14/F14)</f>
        <v>2154.1959240872693</v>
      </c>
      <c r="M14">
        <v>415</v>
      </c>
      <c r="N14" s="19">
        <f>SQRT($N$4/$M$4)*M14</f>
        <v>757.6828712154798</v>
      </c>
      <c r="O14" s="15">
        <f>D14*0.00254*0.00254</f>
        <v>9.677400000000002</v>
      </c>
    </row>
    <row r="15" spans="1:15" ht="12.75">
      <c r="A15" s="12" t="s">
        <v>32</v>
      </c>
      <c r="D15">
        <v>250000</v>
      </c>
      <c r="E15" s="14">
        <f>(2*0.25+2)*12</f>
        <v>30</v>
      </c>
      <c r="F15" s="15">
        <f>$F$40/(D15/$D$40)</f>
        <v>3.25822739959099E-05</v>
      </c>
      <c r="G15" s="15">
        <f>F15+F15*0.006*75</f>
        <v>4.724429729406935E-05</v>
      </c>
      <c r="H15" s="16">
        <f>D15*$H$2</f>
        <v>930</v>
      </c>
      <c r="I15" s="5">
        <f>H15^2*F15</f>
        <v>28.18040877906247</v>
      </c>
      <c r="J15" s="5">
        <f>H15^2*G15</f>
        <v>40.861592729640584</v>
      </c>
      <c r="K15" s="17">
        <f>$K$40*D15/$D$40</f>
        <v>0.9627604569262965</v>
      </c>
      <c r="L15" s="18">
        <f>SQRT($L$2*E15/F15)</f>
        <v>470.0840897092978</v>
      </c>
      <c r="M15">
        <v>400</v>
      </c>
      <c r="N15" s="19">
        <f>SQRT($N$4/$M$4)*M15</f>
        <v>730.2967433402215</v>
      </c>
      <c r="O15" s="15">
        <f>D15*0.00254*0.00254</f>
        <v>1.6129</v>
      </c>
    </row>
    <row r="16" spans="1:15" ht="12.75">
      <c r="A16" s="12" t="s">
        <v>33</v>
      </c>
      <c r="D16" s="13">
        <f>2000*3000/8</f>
        <v>750000</v>
      </c>
      <c r="E16" s="14">
        <f>(2*0.375+4)*12</f>
        <v>57</v>
      </c>
      <c r="F16" s="15">
        <f>$F$40/(D16/$D$40)</f>
        <v>1.086075799863663E-05</v>
      </c>
      <c r="G16" s="15">
        <f>F16+F16*0.006*75</f>
        <v>1.5748099098023115E-05</v>
      </c>
      <c r="H16" s="16">
        <f>D16*$H$2</f>
        <v>2790</v>
      </c>
      <c r="I16" s="5">
        <f>H16^2*F16</f>
        <v>84.5412263371874</v>
      </c>
      <c r="J16" s="5">
        <f>H16^2*G16</f>
        <v>122.58477818892173</v>
      </c>
      <c r="K16" s="17">
        <f>$K$40*D16/$D$40</f>
        <v>2.8882813707788895</v>
      </c>
      <c r="L16" s="18">
        <f>SQRT($L$2*E16/F16)</f>
        <v>1122.3103817427555</v>
      </c>
      <c r="M16">
        <v>880</v>
      </c>
      <c r="N16" s="19">
        <f>SQRT($N$4/$M$4)*M16</f>
        <v>1606.6528353484873</v>
      </c>
      <c r="O16" s="15">
        <f>D16*0.00254*0.00254</f>
        <v>4.838700000000001</v>
      </c>
    </row>
    <row r="17" spans="1:15" ht="12.75">
      <c r="A17" s="12" t="s">
        <v>34</v>
      </c>
      <c r="D17" s="15">
        <f>500*500</f>
        <v>250000</v>
      </c>
      <c r="E17" s="14">
        <f>(2*0.5+2*0.5)*12</f>
        <v>24</v>
      </c>
      <c r="F17" s="15">
        <f>$F$40/(D17/$D$40)</f>
        <v>3.25822739959099E-05</v>
      </c>
      <c r="G17" s="15">
        <f>F17+F17*0.006*75</f>
        <v>4.724429729406935E-05</v>
      </c>
      <c r="H17" s="16">
        <f>D17*$H$2</f>
        <v>930</v>
      </c>
      <c r="I17" s="5">
        <f>H17^2*F17</f>
        <v>28.18040877906247</v>
      </c>
      <c r="J17" s="5">
        <f>H17^2*G17</f>
        <v>40.861592729640584</v>
      </c>
      <c r="K17" s="17">
        <f>$K$40*D17/$D$40</f>
        <v>0.9627604569262965</v>
      </c>
      <c r="L17" s="18">
        <f>SQRT($L$2*E17/F17)</f>
        <v>420.4559918924397</v>
      </c>
      <c r="M17">
        <v>300</v>
      </c>
      <c r="N17" s="19">
        <f>SQRT($N$4/$M$4)*M17</f>
        <v>547.7225575051662</v>
      </c>
      <c r="O17" s="15">
        <f>D17*0.00254*0.00254</f>
        <v>1.6129</v>
      </c>
    </row>
    <row r="18" spans="1:15" ht="12.75">
      <c r="A18" s="12" t="s">
        <v>35</v>
      </c>
      <c r="D18" s="15">
        <f>500*4000</f>
        <v>2000000</v>
      </c>
      <c r="E18" s="14">
        <f>(2*0.5+2*4)*12</f>
        <v>108</v>
      </c>
      <c r="F18" s="15">
        <f>$F$40/(D18/$D$40)</f>
        <v>4.072784249488737E-06</v>
      </c>
      <c r="G18" s="15">
        <f>F18+F18*0.006*75</f>
        <v>5.905537161758669E-06</v>
      </c>
      <c r="H18" s="16">
        <f>D18*$H$2</f>
        <v>7440</v>
      </c>
      <c r="I18" s="5">
        <f>H18^2*F18</f>
        <v>225.44327023249977</v>
      </c>
      <c r="J18" s="5">
        <f>H18^2*G18</f>
        <v>326.8927418371247</v>
      </c>
      <c r="K18" s="17">
        <f>$K$40*D18/$D$40</f>
        <v>7.702083655410372</v>
      </c>
      <c r="L18" s="18">
        <f>SQRT($L$2*E18/F18)</f>
        <v>2522.735951354638</v>
      </c>
      <c r="M18">
        <v>1700</v>
      </c>
      <c r="N18" s="19">
        <v>2650</v>
      </c>
      <c r="O18" s="15">
        <f>D18*0.00254*0.00254</f>
        <v>12.9032</v>
      </c>
    </row>
    <row r="19" spans="1:15" ht="12.75">
      <c r="A19" s="12" t="s">
        <v>36</v>
      </c>
      <c r="D19" s="15">
        <f>500*6000</f>
        <v>3000000</v>
      </c>
      <c r="E19" s="14">
        <f>(2*0.5+2*6)*12</f>
        <v>156</v>
      </c>
      <c r="F19" s="15">
        <f>$F$40/(D19/$D$40)</f>
        <v>2.7151894996591576E-06</v>
      </c>
      <c r="G19" s="15">
        <f>F19+F19*0.006*75</f>
        <v>3.937024774505779E-06</v>
      </c>
      <c r="H19" s="16">
        <f>D19*$H$2</f>
        <v>11160</v>
      </c>
      <c r="I19" s="5">
        <f>H19^2*F19</f>
        <v>338.1649053487496</v>
      </c>
      <c r="J19" s="5">
        <f>H19^2*G19</f>
        <v>490.3391127556869</v>
      </c>
      <c r="K19" s="17">
        <f>$K$40*D19/$D$40</f>
        <v>11.553125483115558</v>
      </c>
      <c r="L19" s="18">
        <f>SQRT($L$2*E19/F19)</f>
        <v>3713.3667752087076</v>
      </c>
      <c r="M19">
        <v>2400</v>
      </c>
      <c r="N19" s="19">
        <v>3650</v>
      </c>
      <c r="O19" s="15">
        <f>D19*0.00254*0.00254</f>
        <v>19.354800000000004</v>
      </c>
    </row>
    <row r="20" spans="1:15" ht="12.75">
      <c r="A20" s="12" t="s">
        <v>37</v>
      </c>
      <c r="D20">
        <v>125000</v>
      </c>
      <c r="E20" s="14">
        <f>(2*0.125+2*1)*12</f>
        <v>27</v>
      </c>
      <c r="F20" s="15">
        <f>$F$40/(D20/$D$40)</f>
        <v>6.51645479918198E-05</v>
      </c>
      <c r="G20" s="15">
        <f>F20+F20*0.006*75</f>
        <v>9.44885945881387E-05</v>
      </c>
      <c r="H20" s="16">
        <f>D20*$H$2</f>
        <v>465</v>
      </c>
      <c r="I20" s="5">
        <f>H20^2*F20</f>
        <v>14.090204389531236</v>
      </c>
      <c r="J20" s="5">
        <f>H20^2*G20</f>
        <v>20.430796364820292</v>
      </c>
      <c r="K20" s="17">
        <f>$K$40*D20/$D$40</f>
        <v>0.48138022846314826</v>
      </c>
      <c r="L20" s="18">
        <f>SQRT($L$2*E20/F20)</f>
        <v>315.34199391932975</v>
      </c>
      <c r="M20">
        <v>400</v>
      </c>
      <c r="N20" s="19">
        <f>SQRT($N$4/$M$4)*M20</f>
        <v>730.2967433402215</v>
      </c>
      <c r="O20" s="15">
        <f>D20*0.00254*0.00254</f>
        <v>0.80645</v>
      </c>
    </row>
    <row r="21" spans="1:15" ht="12.75">
      <c r="A21" s="12" t="s">
        <v>38</v>
      </c>
      <c r="D21">
        <v>18750</v>
      </c>
      <c r="E21" s="14">
        <f>(2*0.0625+2*0.3)*12</f>
        <v>8.700000000000001</v>
      </c>
      <c r="F21" s="15">
        <f>$F$40/(D21/$D$40)</f>
        <v>0.0004344303199454653</v>
      </c>
      <c r="G21" s="15">
        <f>F21+F21*0.006*75</f>
        <v>0.0006299239639209246</v>
      </c>
      <c r="H21" s="16">
        <f>D21*$H$2</f>
        <v>69.75</v>
      </c>
      <c r="I21" s="5">
        <f>H21^2*F21</f>
        <v>2.1135306584296853</v>
      </c>
      <c r="J21" s="5">
        <f>H21^2*G21</f>
        <v>3.0646194547230436</v>
      </c>
      <c r="K21" s="17">
        <f>$K$40*D21/$D$40</f>
        <v>0.07220703426947224</v>
      </c>
      <c r="L21" s="18">
        <f>SQRT($L$2*E21/F21)</f>
        <v>69.32744310806918</v>
      </c>
      <c r="N21" s="19"/>
      <c r="O21" s="15"/>
    </row>
    <row r="22" spans="1:15" ht="12.75">
      <c r="A22" s="12" t="s">
        <v>39</v>
      </c>
      <c r="D22" s="15">
        <f>250*25</f>
        <v>6250</v>
      </c>
      <c r="E22" s="14">
        <f>(2*0.025+2*0.25)*12</f>
        <v>6.6000000000000005</v>
      </c>
      <c r="F22" s="15">
        <f>$F$40/(D22/$D$40)</f>
        <v>0.0013032909598363958</v>
      </c>
      <c r="G22" s="15">
        <f>F22+F22*0.006*75</f>
        <v>0.001889771891762774</v>
      </c>
      <c r="H22" s="16">
        <f>D22*$H$2</f>
        <v>23.25</v>
      </c>
      <c r="I22" s="5">
        <f>H22^2*F22</f>
        <v>0.7045102194765617</v>
      </c>
      <c r="J22" s="5">
        <f>H22^2*G22</f>
        <v>1.0215398182410145</v>
      </c>
      <c r="K22" s="17">
        <f>$K$40*D22/$D$40</f>
        <v>0.024069011423157413</v>
      </c>
      <c r="L22" s="18">
        <f>SQRT($L$2*E22/F22)</f>
        <v>34.86236914909836</v>
      </c>
      <c r="N22" s="19"/>
      <c r="O22" s="15"/>
    </row>
    <row r="23" spans="1:14" ht="12.75">
      <c r="A23" s="12"/>
      <c r="E23" s="14"/>
      <c r="F23" s="15"/>
      <c r="H23" s="16"/>
      <c r="I23" s="5"/>
      <c r="J23" s="5"/>
      <c r="K23" s="17"/>
      <c r="L23" s="18"/>
      <c r="M23" s="8" t="s">
        <v>40</v>
      </c>
      <c r="N23" s="8" t="s">
        <v>40</v>
      </c>
    </row>
    <row r="24" spans="1:14" ht="12.75">
      <c r="A24" s="12"/>
      <c r="E24" s="14"/>
      <c r="F24" s="15"/>
      <c r="H24" s="16"/>
      <c r="I24" s="5"/>
      <c r="J24" s="5"/>
      <c r="K24" s="17"/>
      <c r="L24" s="18"/>
      <c r="M24" s="6">
        <v>60</v>
      </c>
      <c r="N24" s="20">
        <v>90</v>
      </c>
    </row>
    <row r="25" spans="1:17" ht="12.75">
      <c r="A25" s="12" t="s">
        <v>41</v>
      </c>
      <c r="B25" s="21">
        <v>459.99</v>
      </c>
      <c r="C25" s="14">
        <f>B25*0.0254</f>
        <v>11.683746000000001</v>
      </c>
      <c r="D25" s="21">
        <f>3.1416*(B25/2)^2</f>
        <v>166183.41439854002</v>
      </c>
      <c r="E25" s="14">
        <f>3.1416*12*B25/1000</f>
        <v>17.341255008</v>
      </c>
      <c r="F25" s="15">
        <f>$F$40/(D25/$D$40)</f>
        <v>4.901553219650923E-05</v>
      </c>
      <c r="G25" s="15">
        <f>F25+F25*0.006*75</f>
        <v>7.107252168493839E-05</v>
      </c>
      <c r="H25" s="16">
        <f>D25*$H$2</f>
        <v>618.2023015625689</v>
      </c>
      <c r="I25" s="5">
        <f>H25^2*F25</f>
        <v>18.732466200204776</v>
      </c>
      <c r="J25" s="5">
        <f>H25^2*G25</f>
        <v>27.162075990296923</v>
      </c>
      <c r="K25" s="17">
        <f>$K$40*D25/$D$40</f>
        <v>0.6399792799196419</v>
      </c>
      <c r="L25" s="18">
        <f>SQRT($L$2*E25/F25)</f>
        <v>291.3929377911888</v>
      </c>
      <c r="M25" s="19">
        <v>300</v>
      </c>
      <c r="N25">
        <v>405</v>
      </c>
      <c r="O25" s="15">
        <f>D25*0.00254*0.00254</f>
        <v>1.0721489163336209</v>
      </c>
      <c r="P25" s="14">
        <f>5*2^(-A25/3)</f>
        <v>5</v>
      </c>
      <c r="Q25" s="19">
        <f>-3*LOG(D25/80000,2)</f>
        <v>-3.1641134967092794</v>
      </c>
    </row>
    <row r="26" spans="1:17" ht="12.75">
      <c r="A26" s="12" t="s">
        <v>42</v>
      </c>
      <c r="B26" s="21">
        <v>409.63</v>
      </c>
      <c r="C26" s="14">
        <f>B26*0.0254</f>
        <v>10.404602</v>
      </c>
      <c r="D26" s="21">
        <f>3.1416*(B26/2)^2</f>
        <v>131787.55716126</v>
      </c>
      <c r="E26" s="14">
        <f>3.1416*12*B26/1000</f>
        <v>15.442723295999999</v>
      </c>
      <c r="F26" s="15">
        <f>$F$40/(D26/$D$40)</f>
        <v>6.180832754195652E-05</v>
      </c>
      <c r="G26" s="15">
        <f>F26+F26*0.006*75</f>
        <v>8.962207493583696E-05</v>
      </c>
      <c r="H26" s="16">
        <f>D26*$H$2</f>
        <v>490.2497126398872</v>
      </c>
      <c r="I26" s="5">
        <f>H26^2*F26</f>
        <v>14.855308931193475</v>
      </c>
      <c r="J26" s="5">
        <f>H26^2*G26</f>
        <v>21.540197950230542</v>
      </c>
      <c r="K26" s="17">
        <f>$K$40*D26/$D$40</f>
        <v>0.5075193949991004</v>
      </c>
      <c r="L26" s="18">
        <f>SQRT($L$2*E26/F26)</f>
        <v>244.87478608432394</v>
      </c>
      <c r="M26" s="19">
        <v>260</v>
      </c>
      <c r="N26">
        <v>350</v>
      </c>
      <c r="O26" s="15">
        <f>D26*0.00254*0.00254</f>
        <v>0.8502406037815851</v>
      </c>
      <c r="P26" s="14">
        <f>5*2^(-A26/3)</f>
        <v>5</v>
      </c>
      <c r="Q26" s="19">
        <f>-3*LOG(D26/80000,2)</f>
        <v>-2.160426775005936</v>
      </c>
    </row>
    <row r="27" spans="1:17" ht="12.75">
      <c r="A27" s="12" t="s">
        <v>43</v>
      </c>
      <c r="B27" s="21">
        <v>364.79</v>
      </c>
      <c r="C27" s="14">
        <f>B27*0.0254</f>
        <v>9.265666000000001</v>
      </c>
      <c r="D27" s="21">
        <f>3.1416*(B27/2)^2</f>
        <v>104514.54781614001</v>
      </c>
      <c r="E27" s="14">
        <f>3.1416*12*B27/1000</f>
        <v>13.752291168</v>
      </c>
      <c r="F27" s="15">
        <f>$F$40/(D27/$D$40)</f>
        <v>7.793717400286707E-05</v>
      </c>
      <c r="G27" s="15">
        <f>F27+F27*0.006*75</f>
        <v>0.00011300890230415725</v>
      </c>
      <c r="H27" s="16">
        <f>D27*$H$2</f>
        <v>388.79411787604084</v>
      </c>
      <c r="I27" s="5">
        <f>H27^2*F27</f>
        <v>11.781050723270786</v>
      </c>
      <c r="J27" s="5">
        <f>H27^2*G27</f>
        <v>17.08252354874264</v>
      </c>
      <c r="K27" s="17">
        <f>$K$40*D27/$D$40</f>
        <v>0.40248989524364887</v>
      </c>
      <c r="L27" s="18">
        <f>SQRT($L$2*E27/F27)</f>
        <v>205.78836805236304</v>
      </c>
      <c r="M27" s="19">
        <v>225</v>
      </c>
      <c r="N27">
        <v>300</v>
      </c>
      <c r="O27" s="15">
        <f>D27*0.00254*0.00254</f>
        <v>0.674286056690609</v>
      </c>
      <c r="P27" s="14">
        <f>5*2^(-A27/3)</f>
        <v>5</v>
      </c>
      <c r="Q27" s="19">
        <f>-3*LOG(D27/80000,2)</f>
        <v>-1.1568955977458775</v>
      </c>
    </row>
    <row r="28" spans="1:17" ht="12.75">
      <c r="A28" s="12" t="s">
        <v>44</v>
      </c>
      <c r="B28" s="21">
        <v>324.85</v>
      </c>
      <c r="C28" s="14">
        <f>B28*0.0254</f>
        <v>8.251190000000001</v>
      </c>
      <c r="D28" s="21">
        <f>3.1416*(B28/2)^2</f>
        <v>82881.31617150002</v>
      </c>
      <c r="E28" s="14">
        <f>3.1416*12*B28/1000</f>
        <v>12.246585119999999</v>
      </c>
      <c r="F28" s="15">
        <f>$F$40/(D28/$D$40)</f>
        <v>9.827991247294464E-05</v>
      </c>
      <c r="G28" s="15">
        <f>F28+F28*0.006*75</f>
        <v>0.00014250587308576972</v>
      </c>
      <c r="H28" s="16">
        <f>D28*$H$2</f>
        <v>308.31849615798006</v>
      </c>
      <c r="I28" s="5">
        <f>H28^2*F28</f>
        <v>9.342517479438364</v>
      </c>
      <c r="J28" s="5">
        <f>H28^2*G28</f>
        <v>13.546650345185625</v>
      </c>
      <c r="K28" s="17">
        <f>$K$40*D28/$D$40</f>
        <v>0.3191794153117048</v>
      </c>
      <c r="L28" s="18">
        <f>SQRT($L$2*E28/F28)</f>
        <v>172.93414180944552</v>
      </c>
      <c r="M28" s="19">
        <v>195</v>
      </c>
      <c r="N28">
        <v>260</v>
      </c>
      <c r="O28" s="15">
        <f>D28*0.00254*0.00254</f>
        <v>0.5347170994120496</v>
      </c>
      <c r="P28" s="15">
        <f>0.53*2^(-A28/3)</f>
        <v>0.53</v>
      </c>
      <c r="Q28" s="19">
        <f>-3*LOG(D28/80000,2)</f>
        <v>-0.15314074045681147</v>
      </c>
    </row>
    <row r="29" spans="1:17" ht="12.75">
      <c r="A29" s="12" t="s">
        <v>45</v>
      </c>
      <c r="B29" s="21">
        <v>289.29</v>
      </c>
      <c r="C29" s="14">
        <f>B29*0.0254</f>
        <v>7.347966000000001</v>
      </c>
      <c r="D29" s="21">
        <f>3.1416*(B29/2)^2</f>
        <v>65729.10820014</v>
      </c>
      <c r="E29" s="14">
        <f>3.1416*12*B29/1000</f>
        <v>10.906001567999999</v>
      </c>
      <c r="F29" s="15">
        <f>$F$40/(D29/$D$40)</f>
        <v>0.00012392635047131406</v>
      </c>
      <c r="G29" s="15">
        <f>F29+F29*0.006*75</f>
        <v>0.00017969320818340539</v>
      </c>
      <c r="H29" s="16">
        <f>D29*$H$2</f>
        <v>244.51228250452084</v>
      </c>
      <c r="I29" s="5">
        <f>H29^2*F29</f>
        <v>7.40909255105269</v>
      </c>
      <c r="J29" s="5">
        <f>H29^2*G29</f>
        <v>10.7431841990264</v>
      </c>
      <c r="K29" s="17">
        <f>$K$40*D29/$D$40</f>
        <v>0.25312554497649914</v>
      </c>
      <c r="L29" s="18">
        <f>SQRT($L$2*E29/F29)</f>
        <v>145.33043337395927</v>
      </c>
      <c r="M29" s="19">
        <v>165</v>
      </c>
      <c r="N29">
        <v>220</v>
      </c>
      <c r="O29" s="15">
        <f>D29*0.00254*0.00254</f>
        <v>0.42405791446402336</v>
      </c>
      <c r="P29" s="15">
        <f>0.53*2^(-A29/3)</f>
        <v>0.4206612787715729</v>
      </c>
      <c r="Q29" s="19">
        <f>-3*LOG(D29/80000,2)</f>
        <v>0.8504027670777562</v>
      </c>
    </row>
    <row r="30" spans="1:17" ht="12.75">
      <c r="A30" s="12" t="s">
        <v>46</v>
      </c>
      <c r="B30" s="21">
        <v>257.62</v>
      </c>
      <c r="C30" s="14">
        <f>B30*0.0254</f>
        <v>6.543548</v>
      </c>
      <c r="D30" s="21">
        <f>3.1416*(B30/2)^2</f>
        <v>52125.47777976</v>
      </c>
      <c r="E30" s="14">
        <f>3.1416*12*B30/1000</f>
        <v>9.712067904</v>
      </c>
      <c r="F30" s="15">
        <f>$F$40/(D30/$D$40)</f>
        <v>0.00015626846689816525</v>
      </c>
      <c r="G30" s="15">
        <f>F30+F30*0.006*75</f>
        <v>0.0002265892770023396</v>
      </c>
      <c r="H30" s="16">
        <f>D30*$H$2</f>
        <v>193.90677734070724</v>
      </c>
      <c r="I30" s="5">
        <f>H30^2*F30</f>
        <v>5.8756690865503</v>
      </c>
      <c r="J30" s="5">
        <f>H30^2*G30</f>
        <v>8.519720175497934</v>
      </c>
      <c r="K30" s="17">
        <f>$K$40*D30/$D$40</f>
        <v>0.20073739521897305</v>
      </c>
      <c r="L30" s="18">
        <f>SQRT($L$2*E30/F30)</f>
        <v>122.13096826467601</v>
      </c>
      <c r="M30" s="19">
        <v>140</v>
      </c>
      <c r="N30">
        <v>190</v>
      </c>
      <c r="O30" s="15">
        <f>D30*0.00254*0.00254</f>
        <v>0.3362927324438997</v>
      </c>
      <c r="P30" s="15">
        <f>0.53*2^(-A30/3)</f>
        <v>0.3338790782221414</v>
      </c>
      <c r="Q30" s="19">
        <f>-3*LOG(D30/80000,2)</f>
        <v>1.854033893114779</v>
      </c>
    </row>
    <row r="31" spans="1:17" ht="12.75">
      <c r="A31" s="12" t="s">
        <v>47</v>
      </c>
      <c r="B31" s="21">
        <v>229.42</v>
      </c>
      <c r="C31" s="14">
        <f>B31*0.0254</f>
        <v>5.827268</v>
      </c>
      <c r="D31" s="21">
        <f>3.1416*(B31/2)^2</f>
        <v>41338.37948856</v>
      </c>
      <c r="E31" s="14">
        <f>3.1416*12*B31/1000</f>
        <v>8.648950464</v>
      </c>
      <c r="F31" s="15">
        <f>$F$40/(D31/$D$40)</f>
        <v>0.00019704614935937877</v>
      </c>
      <c r="G31" s="15">
        <f>F31+F31*0.006*75</f>
        <v>0.0002857169165710992</v>
      </c>
      <c r="H31" s="16">
        <f>D31*$H$2</f>
        <v>153.7787716974432</v>
      </c>
      <c r="I31" s="5">
        <f>H31^2*F31</f>
        <v>4.6597297290065285</v>
      </c>
      <c r="J31" s="5">
        <f>H31^2*G31</f>
        <v>6.756608107059466</v>
      </c>
      <c r="K31" s="17">
        <f>$K$40*D31/$D$40</f>
        <v>0.15919582849999467</v>
      </c>
      <c r="L31" s="18">
        <f>SQRT($L$2*E31/F31)</f>
        <v>102.63685821917302</v>
      </c>
      <c r="M31" s="19"/>
      <c r="O31" s="15">
        <f>D31*0.00254*0.00254</f>
        <v>0.2666986891083937</v>
      </c>
      <c r="P31" s="15">
        <f>0.53*2^(-A31/3)</f>
        <v>0.265</v>
      </c>
      <c r="Q31" s="19">
        <f>-3*LOG(D31/80000,2)</f>
        <v>2.857554496238354</v>
      </c>
    </row>
    <row r="32" spans="1:17" ht="12.75">
      <c r="A32" s="12" t="s">
        <v>48</v>
      </c>
      <c r="B32" s="21">
        <v>204.3</v>
      </c>
      <c r="C32" s="14">
        <f>B32*0.0254</f>
        <v>5.189220000000001</v>
      </c>
      <c r="D32" s="21">
        <f>3.1416*(B32/2)^2</f>
        <v>32781.410046000005</v>
      </c>
      <c r="E32" s="14">
        <f>3.1416*12*B32/1000</f>
        <v>7.7019465600000006</v>
      </c>
      <c r="F32" s="15">
        <f>$F$40/(D32/$D$40)</f>
        <v>0.0002484813340105667</v>
      </c>
      <c r="G32" s="15">
        <f>F32+F32*0.006*75</f>
        <v>0.0003602979343153217</v>
      </c>
      <c r="H32" s="16">
        <f>D32*$H$2</f>
        <v>121.94684537112002</v>
      </c>
      <c r="I32" s="5">
        <f>H32^2*F32</f>
        <v>3.6951741418013806</v>
      </c>
      <c r="J32" s="5">
        <f>H32^2*G32</f>
        <v>5.358002505612002</v>
      </c>
      <c r="K32" s="17">
        <f>$K$40*D32/$D$40</f>
        <v>0.126242581258301</v>
      </c>
      <c r="L32" s="18">
        <f>SQRT($L$2*E32/F32)</f>
        <v>86.24997668414683</v>
      </c>
      <c r="M32" s="19">
        <v>105</v>
      </c>
      <c r="N32">
        <v>140</v>
      </c>
      <c r="O32" s="15">
        <f>D32*0.00254*0.00254</f>
        <v>0.21149254505277365</v>
      </c>
      <c r="P32" s="15">
        <f>0.53*2^(-A32/3)</f>
        <v>0.21033063938578644</v>
      </c>
      <c r="Q32" s="19">
        <f>-3*LOG(D32/80000,2)</f>
        <v>3.8613662662223147</v>
      </c>
    </row>
    <row r="33" spans="1:17" ht="12.75">
      <c r="A33" s="12" t="s">
        <v>49</v>
      </c>
      <c r="B33" s="21">
        <v>181.94</v>
      </c>
      <c r="C33" s="14">
        <f>B33*0.0254</f>
        <v>4.621276000000001</v>
      </c>
      <c r="D33" s="21">
        <f>3.1416*(B33/2)^2</f>
        <v>25998.439291439998</v>
      </c>
      <c r="E33" s="14">
        <f>3.1416*12*B33/1000</f>
        <v>6.858992447999999</v>
      </c>
      <c r="F33" s="15">
        <f>$F$40/(D33/$D$40)</f>
        <v>0.00031330990324713096</v>
      </c>
      <c r="G33" s="15">
        <f>F33+F33*0.006*75</f>
        <v>0.00045429935970833985</v>
      </c>
      <c r="H33" s="16">
        <f>D33*$H$2</f>
        <v>96.7141941641568</v>
      </c>
      <c r="I33" s="5">
        <f>H33^2*F33</f>
        <v>2.9305865874016734</v>
      </c>
      <c r="J33" s="5">
        <f>H33^2*G33</f>
        <v>4.249350551732427</v>
      </c>
      <c r="K33" s="17">
        <f>$K$40*D33/$D$40</f>
        <v>0.10012107716638942</v>
      </c>
      <c r="L33" s="18">
        <f>SQRT($L$2*E33/F33)</f>
        <v>72.48509658888908</v>
      </c>
      <c r="M33" s="19"/>
      <c r="O33" s="15">
        <f>D33*0.00254*0.00254</f>
        <v>0.1677315309326543</v>
      </c>
      <c r="P33" s="15">
        <f>0.53*2^(-A33/3)</f>
        <v>0.1669395391110707</v>
      </c>
      <c r="Q33" s="19">
        <f>-3*LOG(D33/80000,2)</f>
        <v>4.864724941094423</v>
      </c>
    </row>
    <row r="34" spans="1:17" ht="12.75">
      <c r="A34" s="12" t="s">
        <v>50</v>
      </c>
      <c r="B34" s="21">
        <v>162</v>
      </c>
      <c r="C34" s="14">
        <f>B34*0.0254</f>
        <v>4.114800000000001</v>
      </c>
      <c r="D34" s="21">
        <f>3.1416*(B34/2)^2</f>
        <v>20612.0376</v>
      </c>
      <c r="E34" s="14">
        <f>3.1416*12*B34/1000</f>
        <v>6.107270399999999</v>
      </c>
      <c r="F34" s="15">
        <f>$F$40/(D34/$D$40)</f>
        <v>0.00039518502037748436</v>
      </c>
      <c r="G34" s="15">
        <f>F34+F34*0.006*75</f>
        <v>0.0005730182795473523</v>
      </c>
      <c r="H34" s="16">
        <f>D34*$H$2</f>
        <v>76.676779872</v>
      </c>
      <c r="I34" s="5">
        <f>H34^2*F34</f>
        <v>2.3234225813496225</v>
      </c>
      <c r="J34" s="5">
        <f>H34^2*G34</f>
        <v>3.3689627429569526</v>
      </c>
      <c r="K34" s="17">
        <f>$K$40*D34/$D$40</f>
        <v>0.07937781895183202</v>
      </c>
      <c r="L34" s="18">
        <f>SQRT($L$2*E34/F34)</f>
        <v>60.90163585565592</v>
      </c>
      <c r="M34" s="19">
        <v>80</v>
      </c>
      <c r="N34">
        <v>105</v>
      </c>
      <c r="O34" s="15">
        <f>D34*0.00254*0.00254</f>
        <v>0.13298062178016</v>
      </c>
      <c r="P34" s="15">
        <f>0.53*2^(-A34/3)</f>
        <v>0.1325</v>
      </c>
      <c r="Q34" s="19">
        <f>-3*LOG(D34/80000,2)</f>
        <v>5.869538611989757</v>
      </c>
    </row>
    <row r="35" spans="1:17" ht="12.75">
      <c r="A35" s="12" t="s">
        <v>51</v>
      </c>
      <c r="B35" s="21">
        <v>144.28</v>
      </c>
      <c r="C35" s="14">
        <f>B35*0.0254</f>
        <v>3.664712</v>
      </c>
      <c r="D35" s="21">
        <f>3.1416*(B35/2)^2</f>
        <v>16349.450631360001</v>
      </c>
      <c r="E35" s="14">
        <f>3.1416*12*B35/1000</f>
        <v>5.439240576</v>
      </c>
      <c r="F35" s="15">
        <f>$F$40/(D35/$D$40)</f>
        <v>0.0004982166485370095</v>
      </c>
      <c r="G35" s="15">
        <f>F35+F35*0.006*75</f>
        <v>0.0007224141403786638</v>
      </c>
      <c r="H35" s="16">
        <f>D35*$H$2</f>
        <v>60.81995634865921</v>
      </c>
      <c r="I35" s="5">
        <f>H35^2*F35</f>
        <v>1.8429368084193034</v>
      </c>
      <c r="J35" s="5">
        <f>H35^2*G35</f>
        <v>2.67225837220799</v>
      </c>
      <c r="K35" s="17">
        <f>$K$40*D35/$D$40</f>
        <v>0.06296241824136833</v>
      </c>
      <c r="L35" s="18">
        <f>SQRT($L$2*E35/F35)</f>
        <v>51.18770246165652</v>
      </c>
      <c r="M35" s="19"/>
      <c r="O35" s="15">
        <f>D35*0.00254*0.00254</f>
        <v>0.1054801156932822</v>
      </c>
      <c r="P35" s="15">
        <f>0.53*2^(-A35/3)</f>
        <v>0.10516531969289321</v>
      </c>
      <c r="Q35" s="19">
        <f>-3*LOG(D35/80000,2)</f>
        <v>6.872273521220432</v>
      </c>
    </row>
    <row r="36" spans="1:17" ht="12.75">
      <c r="A36" s="12" t="s">
        <v>52</v>
      </c>
      <c r="B36" s="21">
        <v>128.49</v>
      </c>
      <c r="C36" s="14">
        <f>B36*0.0254</f>
        <v>3.2636460000000005</v>
      </c>
      <c r="D36" s="21">
        <f>3.1416*(B36/2)^2</f>
        <v>12966.70275054</v>
      </c>
      <c r="E36" s="14">
        <f>3.1416*12*B36/1000</f>
        <v>4.843970208</v>
      </c>
      <c r="F36" s="15">
        <f>$F$40/(D36/$D$40)</f>
        <v>0.0006281911952241097</v>
      </c>
      <c r="G36" s="15">
        <f>F36+F36*0.006*75</f>
        <v>0.0009108772330749591</v>
      </c>
      <c r="H36" s="16">
        <f>D36*$H$2</f>
        <v>48.2361342320088</v>
      </c>
      <c r="I36" s="5">
        <f>H36^2*F36</f>
        <v>1.4616279361072435</v>
      </c>
      <c r="J36" s="5">
        <f>H36^2*G36</f>
        <v>2.1193605073555033</v>
      </c>
      <c r="K36" s="17">
        <f>$K$40*D36/$D$40</f>
        <v>0.04993531465974942</v>
      </c>
      <c r="L36" s="18">
        <f>SQRT($L$2*E36/F36)</f>
        <v>43.01901181832453</v>
      </c>
      <c r="M36" s="19">
        <v>60</v>
      </c>
      <c r="N36">
        <v>80</v>
      </c>
      <c r="O36" s="15">
        <f>D36*0.00254*0.00254</f>
        <v>0.08365597946538388</v>
      </c>
      <c r="P36" s="15">
        <f>0.53*2^(-A36/3)</f>
        <v>0.08346976955553535</v>
      </c>
      <c r="Q36" s="19">
        <f>-3*LOG(D36/80000,2)</f>
        <v>7.875564992272663</v>
      </c>
    </row>
    <row r="37" spans="1:17" ht="12.75">
      <c r="A37" s="12" t="s">
        <v>53</v>
      </c>
      <c r="B37" s="21">
        <v>114.42</v>
      </c>
      <c r="C37" s="14">
        <f>B37*0.0254</f>
        <v>2.9062680000000003</v>
      </c>
      <c r="D37" s="21">
        <f>3.1416*(B37/2)^2</f>
        <v>10282.40684856</v>
      </c>
      <c r="E37" s="14">
        <f>3.1416*12*B37/1000</f>
        <v>4.313542464</v>
      </c>
      <c r="F37" s="15">
        <f>$F$40/(D37/$D$40)</f>
        <v>0.0007921850028836605</v>
      </c>
      <c r="G37" s="15">
        <f>F37+F37*0.006*75</f>
        <v>0.0011486682541813078</v>
      </c>
      <c r="H37" s="16">
        <f>D37*$H$2</f>
        <v>38.250553476643205</v>
      </c>
      <c r="I37" s="5">
        <f>H37^2*F37</f>
        <v>1.1590497129002093</v>
      </c>
      <c r="J37" s="5">
        <f>H37^2*G37</f>
        <v>1.6806220837053036</v>
      </c>
      <c r="K37" s="17">
        <f>$K$40*D37/$D$40</f>
        <v>0.03959797886328682</v>
      </c>
      <c r="L37" s="18">
        <f>SQRT($L$2*E37/F37)</f>
        <v>36.15008739284401</v>
      </c>
      <c r="M37" s="19"/>
      <c r="O37" s="15">
        <f>D37*0.00254*0.00254</f>
        <v>0.06633797602416971</v>
      </c>
      <c r="P37" s="15">
        <f>0.53*2^(-A37/3)</f>
        <v>0.06625</v>
      </c>
      <c r="Q37" s="19">
        <f>-3*LOG(D37/80000,2)</f>
        <v>8.879465993742379</v>
      </c>
    </row>
    <row r="38" spans="1:17" ht="12.75">
      <c r="A38" s="12" t="s">
        <v>54</v>
      </c>
      <c r="B38" s="21">
        <v>101.9</v>
      </c>
      <c r="C38" s="14">
        <f>B38*0.0254</f>
        <v>2.5882600000000004</v>
      </c>
      <c r="D38" s="21">
        <f>3.1416*(B38/2)^2</f>
        <v>8155.287294000001</v>
      </c>
      <c r="E38" s="14">
        <f>3.1416*12*B38/1000</f>
        <v>3.8415484799999997</v>
      </c>
      <c r="F38" s="15">
        <f>$F$40/(D38/$D$40)</f>
        <v>0.0009988082829369264</v>
      </c>
      <c r="G38" s="15">
        <f>F38+F38*0.006*75</f>
        <v>0.0014482720102585432</v>
      </c>
      <c r="H38" s="18">
        <f>D38*$H$2</f>
        <v>30.337668733680005</v>
      </c>
      <c r="I38" s="5">
        <f>H38^2*F38</f>
        <v>0.919277318622457</v>
      </c>
      <c r="J38" s="5">
        <f>H38^2*G38</f>
        <v>1.3329521120025625</v>
      </c>
      <c r="K38" s="17">
        <f>$K$40*D38/$D$40</f>
        <v>0.03140635248614665</v>
      </c>
      <c r="L38" s="18">
        <f>SQRT($L$2*E38/F38)</f>
        <v>30.38209465237861</v>
      </c>
      <c r="M38" s="19">
        <v>40</v>
      </c>
      <c r="N38">
        <v>55</v>
      </c>
      <c r="O38" s="15">
        <f>D38*0.00254*0.00254</f>
        <v>0.05261465150597041</v>
      </c>
      <c r="P38" s="15">
        <f>0.53*2^(-A38/3)</f>
        <v>0.052582659846446604</v>
      </c>
      <c r="Q38" s="19">
        <f>-3*LOG(D38/80000,2)</f>
        <v>9.882577181626797</v>
      </c>
    </row>
    <row r="39" spans="1:17" ht="12.75">
      <c r="A39" s="12" t="s">
        <v>55</v>
      </c>
      <c r="B39" s="21">
        <v>90.741</v>
      </c>
      <c r="C39" s="14">
        <f>B39*0.0254</f>
        <v>2.3048214000000002</v>
      </c>
      <c r="D39" s="21">
        <f>3.1416*(B39/2)^2</f>
        <v>6466.9279002174</v>
      </c>
      <c r="E39" s="14">
        <f>3.1416*12*B39/1000</f>
        <v>3.4208631071999998</v>
      </c>
      <c r="F39" s="15">
        <f>$F$40/(D39/$D$40)</f>
        <v>0.001259573111786764</v>
      </c>
      <c r="G39" s="15">
        <f>F39+F39*0.006*75</f>
        <v>0.0018263810120908077</v>
      </c>
      <c r="H39" s="16">
        <f>D39*$H$2</f>
        <v>24.056971788808728</v>
      </c>
      <c r="I39" s="5">
        <f>H39^2*F39</f>
        <v>0.7289626870914018</v>
      </c>
      <c r="J39" s="5">
        <f>H39^2*G39</f>
        <v>1.0569958962825323</v>
      </c>
      <c r="K39" s="17">
        <f>$K$40*D39/$D$40</f>
        <v>0.024904409840490877</v>
      </c>
      <c r="L39" s="18">
        <f>SQRT($L$2*E39/F39)</f>
        <v>25.530644477338722</v>
      </c>
      <c r="M39" s="19"/>
      <c r="O39" s="15">
        <f>D39*0.00254*0.00254</f>
        <v>0.041722032041042585</v>
      </c>
      <c r="P39" s="15">
        <f>0.53*2^(-A39/3)</f>
        <v>0.041734884777767677</v>
      </c>
      <c r="Q39" s="19">
        <f>-3*LOG(D39/80000,2)</f>
        <v>10.886542707059064</v>
      </c>
    </row>
    <row r="40" spans="1:17" ht="12.75">
      <c r="A40" s="12" t="s">
        <v>56</v>
      </c>
      <c r="B40" s="21">
        <v>80.807</v>
      </c>
      <c r="C40" s="14">
        <f>B40*0.0254</f>
        <v>2.0524978000000003</v>
      </c>
      <c r="D40" s="21">
        <f>3.1416*(B40/2)^2</f>
        <v>5128.4823389646</v>
      </c>
      <c r="E40" s="14">
        <f>3.1416*12*B40/1000</f>
        <v>3.0463592544</v>
      </c>
      <c r="F40" s="6">
        <f>1.5883/1000</f>
        <v>0.0015883</v>
      </c>
      <c r="G40" s="15">
        <f>F40+F40*0.006*75</f>
        <v>0.002303035</v>
      </c>
      <c r="H40" s="16">
        <f>D40*$H$2</f>
        <v>19.077954300948313</v>
      </c>
      <c r="I40" s="5">
        <f>H40^2*F40</f>
        <v>0.5780909149128994</v>
      </c>
      <c r="J40" s="5">
        <f>H40^2*G40</f>
        <v>0.8382318266237042</v>
      </c>
      <c r="K40" s="22">
        <v>0.01975</v>
      </c>
      <c r="L40" s="18">
        <f>SQRT($L$2*E40/F40)</f>
        <v>21.455068818326325</v>
      </c>
      <c r="M40" s="19">
        <v>30</v>
      </c>
      <c r="N40">
        <v>40</v>
      </c>
      <c r="O40" s="15">
        <f>D40*0.00254*0.00254</f>
        <v>0.033086916658064014</v>
      </c>
      <c r="P40" s="15">
        <f>0.53*2^(-A40/3)</f>
        <v>0.033125</v>
      </c>
      <c r="Q40" s="19">
        <f>-3*LOG(D40/80000,2)</f>
        <v>11.890188418853935</v>
      </c>
    </row>
    <row r="41" spans="1:17" ht="12.75">
      <c r="A41" s="12" t="s">
        <v>57</v>
      </c>
      <c r="B41" s="21">
        <v>71.961</v>
      </c>
      <c r="C41" s="14">
        <f>B41*0.0254</f>
        <v>1.8278094</v>
      </c>
      <c r="D41" s="21">
        <f>3.1416*(B41/2)^2</f>
        <v>4067.1039881934003</v>
      </c>
      <c r="E41" s="14">
        <f>3.1416*12*B41/1000</f>
        <v>2.7128721311999997</v>
      </c>
      <c r="F41" s="15">
        <f>$F$40/(D41/$D$40)</f>
        <v>0.0020027932707458803</v>
      </c>
      <c r="G41" s="15">
        <f>F41+F41*0.006*75</f>
        <v>0.0029040502425815265</v>
      </c>
      <c r="H41" s="16">
        <f>D41*$H$2</f>
        <v>15.12962683607945</v>
      </c>
      <c r="I41" s="5">
        <f>H41^2*F41</f>
        <v>0.4584506117369811</v>
      </c>
      <c r="J41" s="5">
        <f>H41^2*G41</f>
        <v>0.6647533870186226</v>
      </c>
      <c r="K41" s="17">
        <f>$K$40*D41/$D$40</f>
        <v>0.015662587576159365</v>
      </c>
      <c r="L41" s="18">
        <f>SQRT($L$2*E41/F41)</f>
        <v>18.030269623079757</v>
      </c>
      <c r="M41" s="19"/>
      <c r="O41" s="15">
        <f>D41*0.00254*0.00254</f>
        <v>0.026239328090228543</v>
      </c>
      <c r="P41" s="15">
        <f>0.53*2^(-A41/3)</f>
        <v>0.02629132992322331</v>
      </c>
      <c r="Q41" s="19">
        <f>-3*LOG(D41/80000,2)</f>
        <v>12.89377864985747</v>
      </c>
    </row>
    <row r="42" spans="1:17" ht="12.75">
      <c r="A42" s="12" t="s">
        <v>58</v>
      </c>
      <c r="B42" s="21">
        <v>64.083</v>
      </c>
      <c r="C42" s="14">
        <f>B42*0.0254</f>
        <v>1.6277082</v>
      </c>
      <c r="D42" s="21">
        <f>3.1416*(B42/2)^2</f>
        <v>3225.3479002206</v>
      </c>
      <c r="E42" s="14">
        <f>3.1416*12*B42/1000</f>
        <v>2.4158778335999997</v>
      </c>
      <c r="F42" s="15">
        <f>$F$40/(D42/$D$40)</f>
        <v>0.0025254852347619157</v>
      </c>
      <c r="G42" s="15">
        <f>F42+F42*0.006*75</f>
        <v>0.003661953590404778</v>
      </c>
      <c r="H42" s="16">
        <f>D42*$H$2</f>
        <v>11.998294188820633</v>
      </c>
      <c r="I42" s="5">
        <f>H42^2*F42</f>
        <v>0.3635664891316293</v>
      </c>
      <c r="J42" s="5">
        <f>H42^2*G42</f>
        <v>0.5271714092408625</v>
      </c>
      <c r="K42" s="17">
        <f>$K$40*D42/$D$40</f>
        <v>0.012420949672650623</v>
      </c>
      <c r="L42" s="18">
        <f>SQRT($L$2*E42/F42)</f>
        <v>15.152025358697584</v>
      </c>
      <c r="M42" s="19">
        <v>25</v>
      </c>
      <c r="N42">
        <v>35</v>
      </c>
      <c r="O42" s="15">
        <f>D42*0.00254*0.00254</f>
        <v>0.020808654513063227</v>
      </c>
      <c r="P42" s="15">
        <f>0.53*2^(-A42/3)</f>
        <v>0.020867442388883835</v>
      </c>
      <c r="Q42" s="19">
        <f>-3*LOG(D42/80000,2)</f>
        <v>13.897419931563538</v>
      </c>
    </row>
    <row r="43" spans="1:17" ht="12.75">
      <c r="A43" s="12" t="s">
        <v>59</v>
      </c>
      <c r="B43" s="21">
        <v>57.067</v>
      </c>
      <c r="C43" s="14">
        <f>B43*0.0254</f>
        <v>1.4495018000000002</v>
      </c>
      <c r="D43" s="21">
        <f>3.1416*(B43/2)^2</f>
        <v>2557.7670108606</v>
      </c>
      <c r="E43" s="14">
        <f>3.1416*12*B43/1000</f>
        <v>2.1513802464</v>
      </c>
      <c r="F43" s="15">
        <f>$F$40/(D43/$D$40)</f>
        <v>0.0031846405338681622</v>
      </c>
      <c r="G43" s="15">
        <f>F43+F43*0.006*75</f>
        <v>0.004617728774108836</v>
      </c>
      <c r="H43" s="21">
        <f>D43*$H$2</f>
        <v>9.514893280401433</v>
      </c>
      <c r="I43" s="5">
        <f>H43^2*F43</f>
        <v>0.2883156797106098</v>
      </c>
      <c r="J43" s="5">
        <f>H43^2*G43</f>
        <v>0.4180577355803842</v>
      </c>
      <c r="K43" s="17">
        <f>$K$40*D43/$D$40</f>
        <v>0.009850067744348635</v>
      </c>
      <c r="L43" s="18">
        <f>SQRT($L$2*E43/F43)</f>
        <v>12.733095605732764</v>
      </c>
      <c r="M43" s="19"/>
      <c r="O43" s="15">
        <f>D43*0.00254*0.00254</f>
        <v>0.016501689647268246</v>
      </c>
      <c r="P43" s="15">
        <f>0.53*2^(-A43/3)</f>
        <v>0.0165625</v>
      </c>
      <c r="Q43" s="19">
        <f>-3*LOG(D43/80000,2)</f>
        <v>14.901129722947317</v>
      </c>
    </row>
    <row r="44" spans="1:17" ht="12.75">
      <c r="A44" s="12" t="s">
        <v>60</v>
      </c>
      <c r="B44" s="21">
        <v>50.82</v>
      </c>
      <c r="C44" s="14">
        <f>B44*0.0254</f>
        <v>1.290828</v>
      </c>
      <c r="D44" s="21">
        <f>3.1416*(B44/2)^2</f>
        <v>2028.43090296</v>
      </c>
      <c r="E44" s="14">
        <f>3.1416*12*B44/1000</f>
        <v>1.9158733439999998</v>
      </c>
      <c r="F44" s="15">
        <f>$F$40/(D44/$D$40)</f>
        <v>0.004015699271338749</v>
      </c>
      <c r="G44" s="15">
        <f>F44+F44*0.006*75</f>
        <v>0.005822763943441186</v>
      </c>
      <c r="H44" s="21">
        <f>D44*$H$2</f>
        <v>7.5457629590112</v>
      </c>
      <c r="I44" s="5">
        <f>H44^2*F44</f>
        <v>0.22864804810198236</v>
      </c>
      <c r="J44" s="5">
        <f>H44^2*G44</f>
        <v>0.3315396697478744</v>
      </c>
      <c r="K44" s="17">
        <f>$K$40*D44/$D$40</f>
        <v>0.007811572251908759</v>
      </c>
      <c r="L44" s="18">
        <f>SQRT($L$2*E44/F44)</f>
        <v>10.700607330162597</v>
      </c>
      <c r="M44" s="19">
        <v>18</v>
      </c>
      <c r="N44">
        <v>24</v>
      </c>
      <c r="O44" s="15">
        <f>D44*0.00254*0.00254</f>
        <v>0.013086624813536738</v>
      </c>
      <c r="P44" s="15">
        <f>0.53*2^(-A44/3)</f>
        <v>0.013145664961611655</v>
      </c>
      <c r="Q44" s="19">
        <f>-3*LOG(D44/80000,2)</f>
        <v>15.904691807625726</v>
      </c>
    </row>
    <row r="45" spans="1:17" ht="12.75">
      <c r="A45" s="12" t="s">
        <v>61</v>
      </c>
      <c r="B45" s="21">
        <v>45.257</v>
      </c>
      <c r="C45" s="14">
        <f>B45*0.0254</f>
        <v>1.1495278</v>
      </c>
      <c r="D45" s="21">
        <f>3.1416*(B45/2)^2</f>
        <v>1608.6531768845998</v>
      </c>
      <c r="E45" s="14">
        <f>3.1416*12*B45/1000</f>
        <v>1.7061526943999998</v>
      </c>
      <c r="F45" s="15">
        <f>$F$40/(D45/$D$40)</f>
        <v>0.005063595196294952</v>
      </c>
      <c r="G45" s="15">
        <f>F45+F45*0.006*75</f>
        <v>0.007342213034627681</v>
      </c>
      <c r="H45" s="21">
        <f>D45*$H$2</f>
        <v>5.984189818010711</v>
      </c>
      <c r="I45" s="5">
        <f>H45^2*F45</f>
        <v>0.181330016433382</v>
      </c>
      <c r="J45" s="5">
        <f>H45^2*G45</f>
        <v>0.2629285238284039</v>
      </c>
      <c r="K45" s="17">
        <f>$K$40*D45/$D$40</f>
        <v>0.006194990670453424</v>
      </c>
      <c r="L45" s="23">
        <f>SQRT($L$2*E45/F45)</f>
        <v>8.99259593008424</v>
      </c>
      <c r="M45" s="19" t="s">
        <v>62</v>
      </c>
      <c r="O45" s="15">
        <f>D45*0.00254*0.00254</f>
        <v>0.010378386835988686</v>
      </c>
      <c r="P45" s="15">
        <f>0.53*2^(-A45/3)</f>
        <v>0.010433721194441917</v>
      </c>
      <c r="Q45" s="19">
        <f>-3*LOG(D45/80000,2)</f>
        <v>16.908224334302485</v>
      </c>
    </row>
    <row r="46" spans="1:17" ht="12.75">
      <c r="A46" s="12" t="s">
        <v>63</v>
      </c>
      <c r="B46" s="21">
        <v>40.302</v>
      </c>
      <c r="C46" s="14">
        <f>B46*0.0254</f>
        <v>1.0236708</v>
      </c>
      <c r="D46" s="21">
        <f>3.1416*(B46/2)^2</f>
        <v>1275.6868956216</v>
      </c>
      <c r="E46" s="14">
        <f>3.1416*12*B46/1000</f>
        <v>1.5193531584</v>
      </c>
      <c r="F46" s="15">
        <f>$F$40/(D46/$D$40)</f>
        <v>0.006385241180210139</v>
      </c>
      <c r="G46" s="15">
        <f>F46+F46*0.006*75</f>
        <v>0.009258599711304702</v>
      </c>
      <c r="H46" s="21">
        <f>D46*$H$2</f>
        <v>4.745555251712352</v>
      </c>
      <c r="I46" s="5">
        <f>H46^2*F46</f>
        <v>0.14379751277083952</v>
      </c>
      <c r="J46" s="5">
        <f>H46^2*G46</f>
        <v>0.20850639351771733</v>
      </c>
      <c r="K46" s="17">
        <f>$K$40*D46/$D$40</f>
        <v>0.004912723594094161</v>
      </c>
      <c r="L46" s="23">
        <f>SQRT($L$2*E46/F46)</f>
        <v>7.556946270509897</v>
      </c>
      <c r="M46" s="19">
        <v>13</v>
      </c>
      <c r="N46">
        <v>18</v>
      </c>
      <c r="O46" s="15">
        <f>D46*0.00254*0.00254</f>
        <v>0.008230221575792314</v>
      </c>
      <c r="P46" s="15">
        <f>0.53*2^(-A46/3)</f>
        <v>0.00828125</v>
      </c>
      <c r="Q46" s="19">
        <f>-3*LOG(D46/80000,2)</f>
        <v>17.911961451500567</v>
      </c>
    </row>
    <row r="47" spans="1:17" ht="12.75">
      <c r="A47" s="12" t="s">
        <v>64</v>
      </c>
      <c r="B47" s="21">
        <v>35.89</v>
      </c>
      <c r="C47" s="14">
        <f>B47*0.0254</f>
        <v>0.9116060000000001</v>
      </c>
      <c r="D47" s="21">
        <f>3.1416*(B47/2)^2</f>
        <v>1011.6675353400001</v>
      </c>
      <c r="E47" s="14">
        <f>3.1416*12*B47/1000</f>
        <v>1.3530242879999999</v>
      </c>
      <c r="F47" s="15">
        <f>$F$40/(D47/$D$40)</f>
        <v>0.008051625869599463</v>
      </c>
      <c r="G47" s="15">
        <f>F47+F47*0.006*75</f>
        <v>0.011674857510919222</v>
      </c>
      <c r="H47" s="21">
        <f>D47*$H$2</f>
        <v>3.7634032314648005</v>
      </c>
      <c r="I47" s="5">
        <f>H47^2*F47</f>
        <v>0.11403681877755133</v>
      </c>
      <c r="J47" s="5">
        <f>H47^2*G47</f>
        <v>0.16535338722744944</v>
      </c>
      <c r="K47" s="17">
        <f>$K$40*D47/$D$40</f>
        <v>0.0038959739943257546</v>
      </c>
      <c r="L47" s="23">
        <f>SQRT($L$2*E47/F47)</f>
        <v>6.35062726926035</v>
      </c>
      <c r="M47" s="19"/>
      <c r="O47" s="15">
        <f>D47*0.00254*0.00254</f>
        <v>0.006526874270999545</v>
      </c>
      <c r="P47" s="15">
        <f>0.53*2^(-A47/3)</f>
        <v>0.006572832480805827</v>
      </c>
      <c r="Q47" s="19">
        <f>-3*LOG(D47/80000,2)</f>
        <v>18.915578521049387</v>
      </c>
    </row>
    <row r="48" spans="1:17" ht="12.75">
      <c r="A48" s="12" t="s">
        <v>65</v>
      </c>
      <c r="B48" s="21">
        <v>31.961</v>
      </c>
      <c r="C48" s="14">
        <f>B48*0.0254</f>
        <v>0.8118094</v>
      </c>
      <c r="D48" s="21">
        <f>3.1416*(B48/2)^2</f>
        <v>802.2904361934</v>
      </c>
      <c r="E48" s="14">
        <f>3.1416*12*B48/1000</f>
        <v>1.2049041312</v>
      </c>
      <c r="F48" s="15">
        <f>$F$40/(D48/$D$40)</f>
        <v>0.01015289243335054</v>
      </c>
      <c r="G48" s="15">
        <f>F48+F48*0.006*75</f>
        <v>0.014721694028358281</v>
      </c>
      <c r="H48" s="21">
        <f>D48*$H$2</f>
        <v>2.984520422639448</v>
      </c>
      <c r="I48" s="5">
        <f>H48^2*F48</f>
        <v>0.09043548980584941</v>
      </c>
      <c r="J48" s="5">
        <f>H48^2*G48</f>
        <v>0.13113146021848163</v>
      </c>
      <c r="K48" s="17">
        <f>$K$40*D48/$D$40</f>
        <v>0.003089654027748622</v>
      </c>
      <c r="L48" s="23">
        <f>SQRT($L$2*E48/F48)</f>
        <v>5.336874313931718</v>
      </c>
      <c r="M48" s="19">
        <v>9</v>
      </c>
      <c r="N48">
        <v>12.5</v>
      </c>
      <c r="O48" s="15">
        <f>D48*0.00254*0.00254</f>
        <v>0.005176056978145339</v>
      </c>
      <c r="P48" s="15">
        <f>0.53*2^(-A48/3)</f>
        <v>0.005216860597220959</v>
      </c>
      <c r="Q48" s="19">
        <f>-3*LOG(D48/80000,2)</f>
        <v>19.919194770740127</v>
      </c>
    </row>
    <row r="49" spans="1:17" ht="12.75">
      <c r="A49" s="12" t="s">
        <v>66</v>
      </c>
      <c r="B49" s="21">
        <v>28.462</v>
      </c>
      <c r="C49" s="14">
        <f>B49*0.0254</f>
        <v>0.7229348000000001</v>
      </c>
      <c r="D49" s="21">
        <f>3.1416*(B49/2)^2</f>
        <v>636.2411077175999</v>
      </c>
      <c r="E49" s="14">
        <f>3.1416*12*B49/1000</f>
        <v>1.0729946304</v>
      </c>
      <c r="F49" s="15">
        <f>$F$40/(D49/$D$40)</f>
        <v>0.012802644155135197</v>
      </c>
      <c r="G49" s="15">
        <f>F49+F49*0.006*75</f>
        <v>0.018563834024946036</v>
      </c>
      <c r="H49" s="21">
        <f>D49*$H$2</f>
        <v>2.366816920709472</v>
      </c>
      <c r="I49" s="5">
        <f>H49^2*F49</f>
        <v>0.07171813799010193</v>
      </c>
      <c r="J49" s="5">
        <f>H49^2*G49</f>
        <v>0.10399130008564782</v>
      </c>
      <c r="K49" s="17">
        <f>$K$40*D49/$D$40</f>
        <v>0.0024501911183259584</v>
      </c>
      <c r="L49" s="23">
        <f>SQRT($L$2*E49/F49)</f>
        <v>4.484918525013621</v>
      </c>
      <c r="M49" s="19"/>
      <c r="O49" s="15">
        <f>D49*0.00254*0.00254</f>
        <v>0.004104773130550868</v>
      </c>
      <c r="P49" s="15">
        <f>0.53*2^(-A49/3)</f>
        <v>0.004140625</v>
      </c>
      <c r="Q49" s="19">
        <f>-3*LOG(D49/80000,2)</f>
        <v>20.922847805856012</v>
      </c>
    </row>
    <row r="50" spans="1:17" ht="12.75">
      <c r="A50" s="12" t="s">
        <v>67</v>
      </c>
      <c r="B50" s="21">
        <v>25.346</v>
      </c>
      <c r="C50" s="14">
        <f>B50*0.0254</f>
        <v>0.6437884</v>
      </c>
      <c r="D50" s="21">
        <f>3.1416*(B50/2)^2</f>
        <v>504.5564449464</v>
      </c>
      <c r="E50" s="14">
        <f>3.1416*12*B50/1000</f>
        <v>0.9555239231999999</v>
      </c>
      <c r="F50" s="15">
        <f>$F$40/(D50/$D$40)</f>
        <v>0.016144018336427736</v>
      </c>
      <c r="G50" s="15">
        <f>F50+F50*0.006*75</f>
        <v>0.023408826587820217</v>
      </c>
      <c r="H50" s="21">
        <f>D50*$H$2</f>
        <v>1.876949975200608</v>
      </c>
      <c r="I50" s="5">
        <f>H50^2*F50</f>
        <v>0.05687442748280031</v>
      </c>
      <c r="J50" s="5">
        <f>H50^2*G50</f>
        <v>0.08246791985006045</v>
      </c>
      <c r="K50" s="17">
        <f>$K$40*D50/$D$40</f>
        <v>0.0019430679739268154</v>
      </c>
      <c r="L50" s="23">
        <f>SQRT($L$2*E50/F50)</f>
        <v>3.7689517893413806</v>
      </c>
      <c r="M50" s="19"/>
      <c r="O50" s="15">
        <f>D50*0.00254*0.00254</f>
        <v>0.0032551963602161947</v>
      </c>
      <c r="P50" s="15">
        <f>0.53*2^(-A50/3)</f>
        <v>0.0032864162404029136</v>
      </c>
      <c r="Q50" s="19">
        <f>-3*LOG(D50/80000,2)</f>
        <v>21.926521549501004</v>
      </c>
    </row>
    <row r="51" spans="1:17" ht="12.75">
      <c r="A51" s="24">
        <v>23</v>
      </c>
      <c r="B51" s="21">
        <v>22.572</v>
      </c>
      <c r="C51" s="14">
        <f>B51*0.0254</f>
        <v>0.5733288000000001</v>
      </c>
      <c r="D51" s="21">
        <f>3.1416*(B51/2)^2</f>
        <v>400.15751751359994</v>
      </c>
      <c r="E51" s="14">
        <f>3.1416*12*B51/1000</f>
        <v>0.8509463423999999</v>
      </c>
      <c r="F51" s="15">
        <f>$F$40/(D51/$D$40)</f>
        <v>0.020355905218500947</v>
      </c>
      <c r="G51" s="15">
        <f>F51+F51*0.006*75</f>
        <v>0.029516062566826373</v>
      </c>
      <c r="H51" s="21">
        <f>D51*$H$2</f>
        <v>1.488585965150592</v>
      </c>
      <c r="I51" s="5">
        <f>H51^2*F51</f>
        <v>0.04510640967819239</v>
      </c>
      <c r="J51" s="5">
        <f>H51^2*G51</f>
        <v>0.06540429403337897</v>
      </c>
      <c r="K51" s="17">
        <f>$K$40*D51/$D$40</f>
        <v>0.001541023337615544</v>
      </c>
      <c r="L51" s="23">
        <f>SQRT($L$2*E51/F51)</f>
        <v>3.167462623069667</v>
      </c>
      <c r="M51" s="19"/>
      <c r="O51" s="15">
        <f>D51*0.00254*0.00254</f>
        <v>0.0025816562399907416</v>
      </c>
      <c r="P51" s="15">
        <f>0.53*2^(-A51/3)</f>
        <v>0.0026084302986104793</v>
      </c>
      <c r="Q51" s="19">
        <f>-3*LOG(D51/80000,2)</f>
        <v>22.929864531803922</v>
      </c>
    </row>
    <row r="52" spans="1:17" ht="12.75">
      <c r="A52" s="24">
        <v>24</v>
      </c>
      <c r="B52" s="21">
        <v>20.101</v>
      </c>
      <c r="C52" s="14">
        <f>B52*0.0254</f>
        <v>0.5105654000000001</v>
      </c>
      <c r="D52" s="21">
        <f>3.1416*(B52/2)^2</f>
        <v>317.34102786539995</v>
      </c>
      <c r="E52" s="14">
        <f>3.1416*12*B52/1000</f>
        <v>0.7577916191999999</v>
      </c>
      <c r="F52" s="15">
        <f>$F$40/(D52/$D$40)</f>
        <v>0.025668185906401023</v>
      </c>
      <c r="G52" s="15">
        <f>F52+F52*0.006*75</f>
        <v>0.037218869564281484</v>
      </c>
      <c r="H52" s="21">
        <f>D52*$H$2</f>
        <v>1.1805086236592879</v>
      </c>
      <c r="I52" s="5">
        <f>H52^2*F52</f>
        <v>0.0357711995504593</v>
      </c>
      <c r="J52" s="5">
        <f>H52^2*G52</f>
        <v>0.051868239348165986</v>
      </c>
      <c r="K52" s="17">
        <f>$K$40*D52/$D$40</f>
        <v>0.0012220935719566121</v>
      </c>
      <c r="L52" s="23">
        <f>SQRT($L$2*E52/F52)</f>
        <v>2.6618460356538867</v>
      </c>
      <c r="M52" s="19"/>
      <c r="O52" s="15">
        <f>D52*0.00254*0.00254</f>
        <v>0.0020473573753764145</v>
      </c>
      <c r="P52" s="15">
        <f>0.53*2^(-A52/3)</f>
        <v>0.0020703125</v>
      </c>
      <c r="Q52" s="19">
        <f>-3*LOG(D52/80000,2)</f>
        <v>23.933466407024486</v>
      </c>
    </row>
    <row r="53" spans="1:17" ht="12.75">
      <c r="A53" s="12" t="s">
        <v>68</v>
      </c>
      <c r="B53" s="21">
        <v>17.9</v>
      </c>
      <c r="C53" s="14">
        <f>B53*0.0254</f>
        <v>0.45466</v>
      </c>
      <c r="D53" s="21">
        <f>3.1416*(B53/2)^2</f>
        <v>251.65001399999997</v>
      </c>
      <c r="E53" s="14">
        <f>3.1416*12*B53/1000</f>
        <v>0.6748156799999999</v>
      </c>
      <c r="F53" s="15">
        <f>$F$40/(D53/$D$40)</f>
        <v>0.03236863916477856</v>
      </c>
      <c r="G53" s="15">
        <f>F53+F53*0.006*75</f>
        <v>0.04693452678892891</v>
      </c>
      <c r="H53" s="14">
        <f>D53*$H$2</f>
        <v>0.9361380520799999</v>
      </c>
      <c r="I53" s="5">
        <f>H53^2*F53</f>
        <v>0.028366401055107168</v>
      </c>
      <c r="J53" s="5">
        <f>H53^2*G53</f>
        <v>0.04113128152990539</v>
      </c>
      <c r="K53" s="17">
        <f>$K$40*D53/$D$40</f>
        <v>0.0009691147298565956</v>
      </c>
      <c r="L53" s="23">
        <f>SQRT($L$2*E53/F53)</f>
        <v>2.2368454725037146</v>
      </c>
      <c r="M53" s="19"/>
      <c r="O53" s="15">
        <f>D53*0.00254*0.00254</f>
        <v>0.0016235452303224002</v>
      </c>
      <c r="P53" s="15">
        <f>0.53*2^(-A53/3)</f>
        <v>0.001643208120201456</v>
      </c>
      <c r="Q53" s="19">
        <f>-3*LOG(D53/80000,2)</f>
        <v>24.937312535036142</v>
      </c>
    </row>
    <row r="54" spans="1:17" ht="12.75">
      <c r="A54" s="12" t="s">
        <v>69</v>
      </c>
      <c r="B54" s="21">
        <v>16</v>
      </c>
      <c r="C54" s="14">
        <f>B54*0.0254</f>
        <v>0.40640000000000004</v>
      </c>
      <c r="D54" s="21">
        <f>3.1416*(B54/2)^2</f>
        <v>201.0624</v>
      </c>
      <c r="E54" s="14">
        <f>3.1416*12*B54/1000</f>
        <v>0.6031871999999999</v>
      </c>
      <c r="F54" s="15">
        <f>$F$40/(D54/$D$40)</f>
        <v>0.040512639354635546</v>
      </c>
      <c r="G54" s="15">
        <f>F54+F54*0.006*75</f>
        <v>0.05874332706422154</v>
      </c>
      <c r="H54" s="14">
        <f>D54*$H$2</f>
        <v>0.747952128</v>
      </c>
      <c r="I54" s="5">
        <f>H54^2*F54</f>
        <v>0.02266408248839748</v>
      </c>
      <c r="J54" s="5">
        <f>H54^2*G54</f>
        <v>0.03286291960817635</v>
      </c>
      <c r="K54" s="17">
        <f>$K$40*D54/$D$40</f>
        <v>0.0007742997123787912</v>
      </c>
      <c r="L54" s="23">
        <f>SQRT($L$2*E54/F54)</f>
        <v>1.8903247055753345</v>
      </c>
      <c r="M54" s="19"/>
      <c r="O54" s="15">
        <f>D54*0.00254*0.00254</f>
        <v>0.0012971741798400002</v>
      </c>
      <c r="P54" s="15">
        <f>0.53*2^(-A54/3)</f>
        <v>0.0013042151493052403</v>
      </c>
      <c r="Q54" s="19">
        <f>-3*LOG(D54/80000,2)</f>
        <v>25.908638629297506</v>
      </c>
    </row>
    <row r="55" spans="1:17" ht="12.75">
      <c r="A55" s="12" t="s">
        <v>70</v>
      </c>
      <c r="B55" s="21">
        <v>14.2</v>
      </c>
      <c r="C55" s="14">
        <f>B55*0.0254</f>
        <v>0.36068</v>
      </c>
      <c r="D55" s="21">
        <f>3.1416*(B55/2)^2</f>
        <v>158.368056</v>
      </c>
      <c r="E55" s="14">
        <f>3.1416*12*B55/1000</f>
        <v>0.5353286399999999</v>
      </c>
      <c r="F55" s="15">
        <f>$F$40/(D55/$D$40)</f>
        <v>0.05143441616140994</v>
      </c>
      <c r="G55" s="15">
        <f>F55+F55*0.006*75</f>
        <v>0.07457990343404441</v>
      </c>
      <c r="H55" s="14">
        <f>D55*$H$2</f>
        <v>0.5891291683200001</v>
      </c>
      <c r="I55" s="5">
        <f>H55^2*F55</f>
        <v>0.01785150622250183</v>
      </c>
      <c r="J55" s="5">
        <f>H55^2*G55</f>
        <v>0.025884684022627655</v>
      </c>
      <c r="K55" s="17">
        <f>$K$40*D55/$D$40</f>
        <v>0.0006098820078283573</v>
      </c>
      <c r="L55" s="23">
        <f>SQRT($L$2*E55/F55)</f>
        <v>1.580479812536173</v>
      </c>
      <c r="M55" s="19"/>
      <c r="O55" s="15">
        <f>D55*0.00254*0.00254</f>
        <v>0.0010217273500896002</v>
      </c>
      <c r="P55" s="15">
        <f>0.53*2^(-A55/3)</f>
        <v>0.00103515625</v>
      </c>
      <c r="Q55" s="19">
        <f>-3*LOG(D55/80000,2)</f>
        <v>26.94172448159359</v>
      </c>
    </row>
    <row r="56" spans="1:17" ht="12.75">
      <c r="A56" s="12" t="s">
        <v>71</v>
      </c>
      <c r="B56" s="21">
        <v>12.5</v>
      </c>
      <c r="C56" s="14">
        <f>B56*0.0254</f>
        <v>0.3175</v>
      </c>
      <c r="D56" s="21">
        <f>3.1416*(B56/2)^2</f>
        <v>122.71875</v>
      </c>
      <c r="E56" s="14">
        <f>3.1416*12*B56/1000</f>
        <v>0.47123999999999994</v>
      </c>
      <c r="F56" s="15">
        <f>$F$40/(D56/$D$40)</f>
        <v>0.06637590831863488</v>
      </c>
      <c r="G56" s="15">
        <f>F56+F56*0.006*75</f>
        <v>0.09624506706202057</v>
      </c>
      <c r="H56" s="14">
        <f>D56*$H$2</f>
        <v>0.45651375000000005</v>
      </c>
      <c r="I56" s="5">
        <f>H56^2*F56</f>
        <v>0.013833058159422294</v>
      </c>
      <c r="J56" s="5">
        <f>H56^2*G56</f>
        <v>0.020057934331162323</v>
      </c>
      <c r="K56" s="17">
        <f>$K$40*D56/$D$40</f>
        <v>0.0004725950392936958</v>
      </c>
      <c r="L56" s="23">
        <f>SQRT($L$2*E56/F56)</f>
        <v>1.3053334159734207</v>
      </c>
      <c r="M56" s="19"/>
      <c r="O56" s="15">
        <f>D56*0.00254*0.00254</f>
        <v>0.0007917322875000001</v>
      </c>
      <c r="P56" s="15">
        <f>0.53*2^(-A56/3)</f>
        <v>0.000821604060100728</v>
      </c>
      <c r="Q56" s="19">
        <f>-3*LOG(D56/80000,2)</f>
        <v>28.04550149064916</v>
      </c>
    </row>
    <row r="57" spans="1:17" ht="12.75">
      <c r="A57" s="12" t="s">
        <v>72</v>
      </c>
      <c r="B57" s="21">
        <v>11.3</v>
      </c>
      <c r="C57" s="14">
        <f>B57*0.0254</f>
        <v>0.28702000000000005</v>
      </c>
      <c r="D57" s="21">
        <f>3.1416*(B57/2)^2</f>
        <v>100.287726</v>
      </c>
      <c r="E57" s="14">
        <f>3.1416*12*B57/1000</f>
        <v>0.42600096000000004</v>
      </c>
      <c r="F57" s="15">
        <f>$F$40/(D57/$D$40)</f>
        <v>0.08122198821197195</v>
      </c>
      <c r="G57" s="15">
        <f>F57+F57*0.006*75</f>
        <v>0.11777188290735932</v>
      </c>
      <c r="H57" s="14">
        <f>D57*$H$2</f>
        <v>0.37307034072000006</v>
      </c>
      <c r="I57" s="5">
        <f>H57^2*F57</f>
        <v>0.011304596456810449</v>
      </c>
      <c r="J57" s="5">
        <f>H57^2*G57</f>
        <v>0.01639166486237515</v>
      </c>
      <c r="K57" s="17">
        <f>$K$40*D57/$D$40</f>
        <v>0.0003862122276314369</v>
      </c>
      <c r="L57" s="23">
        <f>SQRT($L$2*E57/F57)</f>
        <v>1.1219515467180863</v>
      </c>
      <c r="M57" s="19"/>
      <c r="O57" s="15">
        <f>D57*0.00254*0.00254</f>
        <v>0.0006470162930616001</v>
      </c>
      <c r="P57" s="15">
        <f>0.53*2^(-A57/3)</f>
        <v>0.0006521075746526202</v>
      </c>
      <c r="Q57" s="19">
        <f>-3*LOG(D57/80000,2)</f>
        <v>28.919133424130557</v>
      </c>
    </row>
    <row r="58" spans="1:17" ht="12.75">
      <c r="A58" s="12" t="s">
        <v>73</v>
      </c>
      <c r="B58" s="21">
        <v>10</v>
      </c>
      <c r="C58" s="14">
        <f>B58*0.0254</f>
        <v>0.254</v>
      </c>
      <c r="D58" s="21">
        <f>3.1416*(B58/2)^2</f>
        <v>78.53999999999999</v>
      </c>
      <c r="E58" s="14">
        <f>3.1416*12*B58/1000</f>
        <v>0.37699199999999994</v>
      </c>
      <c r="F58" s="15">
        <f>$F$40/(D58/$D$40)</f>
        <v>0.103712356747867</v>
      </c>
      <c r="G58" s="15">
        <f>F58+F58*0.006*75</f>
        <v>0.15038291728440714</v>
      </c>
      <c r="H58" s="14">
        <f>D58*$H$2</f>
        <v>0.2921688</v>
      </c>
      <c r="I58" s="5">
        <f>H58^2*F58</f>
        <v>0.008853157222030266</v>
      </c>
      <c r="J58" s="5">
        <f>H58^2*G58</f>
        <v>0.012837077971943885</v>
      </c>
      <c r="K58" s="17">
        <f>$K$40*D58/$D$40</f>
        <v>0.0003024608251479653</v>
      </c>
      <c r="L58" s="25">
        <f>SQRT($L$2*E58/F58)</f>
        <v>0.9340205604539452</v>
      </c>
      <c r="M58" s="19"/>
      <c r="O58" s="15">
        <f>D58*0.00254*0.00254</f>
        <v>0.000506708664</v>
      </c>
      <c r="P58" s="15">
        <f>0.53*2^(-A58/3)</f>
        <v>0.000517578125</v>
      </c>
      <c r="Q58" s="19">
        <f>-3*LOG(D58/80000,2)</f>
        <v>29.97707005997333</v>
      </c>
    </row>
    <row r="59" spans="1:17" ht="12.75">
      <c r="A59" s="12" t="s">
        <v>74</v>
      </c>
      <c r="B59" s="21">
        <v>8.9</v>
      </c>
      <c r="C59" s="14">
        <f>B59*0.0254</f>
        <v>0.22606000000000004</v>
      </c>
      <c r="D59" s="21">
        <f>3.1416*(B59/2)^2</f>
        <v>62.21153400000001</v>
      </c>
      <c r="E59" s="14">
        <f>3.1416*12*B59/1000</f>
        <v>0.33552287999999997</v>
      </c>
      <c r="F59" s="15">
        <f>$F$40/(D59/$D$40)</f>
        <v>0.13093341339208053</v>
      </c>
      <c r="G59" s="15">
        <f>F59+F59*0.006*75</f>
        <v>0.18985344941851678</v>
      </c>
      <c r="H59" s="14">
        <f>D59*$H$2</f>
        <v>0.23142690648000003</v>
      </c>
      <c r="I59" s="5">
        <f>H59^2*F59</f>
        <v>0.007012585835570175</v>
      </c>
      <c r="J59" s="5">
        <f>H59^2*G59</f>
        <v>0.010168249461576753</v>
      </c>
      <c r="K59" s="17">
        <f>$K$40*D59/$D$40</f>
        <v>0.00023957921959970335</v>
      </c>
      <c r="L59" s="25">
        <f>SQRT($L$2*E59/F59)</f>
        <v>0.7842263786405154</v>
      </c>
      <c r="M59" s="19"/>
      <c r="O59" s="15">
        <f>D59*0.00254*0.00254</f>
        <v>0.0004013639327544001</v>
      </c>
      <c r="P59" s="15">
        <f>0.53*2^(-A59/3)</f>
        <v>0.000410802030050364</v>
      </c>
      <c r="Q59" s="19">
        <f>-3*LOG(D59/80000,2)</f>
        <v>30.98580661282329</v>
      </c>
    </row>
    <row r="60" spans="1:17" ht="12.75">
      <c r="A60" s="12" t="s">
        <v>75</v>
      </c>
      <c r="B60" s="21">
        <v>8</v>
      </c>
      <c r="C60" s="14">
        <f>B60*0.0254</f>
        <v>0.20320000000000002</v>
      </c>
      <c r="D60" s="21">
        <f>3.1416*(B60/2)^2</f>
        <v>50.2656</v>
      </c>
      <c r="E60" s="14">
        <f>3.1416*12*B60/1000</f>
        <v>0.30159359999999996</v>
      </c>
      <c r="F60" s="15">
        <f>$F$40/(D60/$D$40)</f>
        <v>0.16205055741854218</v>
      </c>
      <c r="G60" s="15">
        <f>F60+F60*0.006*75</f>
        <v>0.23497330825688617</v>
      </c>
      <c r="H60" s="14">
        <f>D60*$H$2</f>
        <v>0.186988032</v>
      </c>
      <c r="I60" s="5">
        <f>H60^2*F60</f>
        <v>0.00566602062209937</v>
      </c>
      <c r="J60" s="5">
        <f>H60^2*G60</f>
        <v>0.008215729902044087</v>
      </c>
      <c r="K60" s="17">
        <f>$K$40*D60/$D$40</f>
        <v>0.0001935749280946978</v>
      </c>
      <c r="L60" s="25">
        <f>SQRT($L$2*E60/F60)</f>
        <v>0.6683307089783914</v>
      </c>
      <c r="M60" s="19"/>
      <c r="O60" s="15">
        <f>D60*0.00254*0.00254</f>
        <v>0.00032429354496000005</v>
      </c>
      <c r="P60" s="15">
        <f>0.53*2^(-A60/3)</f>
        <v>0.0003260537873263101</v>
      </c>
      <c r="Q60" s="19">
        <f>-3*LOG(D60/80000,2)</f>
        <v>31.908638629297506</v>
      </c>
    </row>
    <row r="61" spans="1:17" ht="12.75">
      <c r="A61" s="12" t="s">
        <v>76</v>
      </c>
      <c r="B61" s="21">
        <v>7.1</v>
      </c>
      <c r="C61" s="14">
        <f>B61*0.0254</f>
        <v>0.18034</v>
      </c>
      <c r="D61" s="21">
        <f>3.1416*(B61/2)^2</f>
        <v>39.592014</v>
      </c>
      <c r="E61" s="14">
        <f>3.1416*12*B61/1000</f>
        <v>0.26766431999999996</v>
      </c>
      <c r="F61" s="15">
        <f>$F$40/(D61/$D$40)</f>
        <v>0.20573766464563975</v>
      </c>
      <c r="G61" s="15">
        <f>F61+F61*0.006*75</f>
        <v>0.29831961373617766</v>
      </c>
      <c r="H61" s="14">
        <f>D61*$H$2</f>
        <v>0.14728229208000002</v>
      </c>
      <c r="I61" s="5">
        <f>H61^2*F61</f>
        <v>0.004462876555625457</v>
      </c>
      <c r="J61" s="5">
        <f>H61^2*G61</f>
        <v>0.006471171005656914</v>
      </c>
      <c r="K61" s="17">
        <f>$K$40*D61/$D$40</f>
        <v>0.00015247050195708932</v>
      </c>
      <c r="L61" s="25">
        <f>SQRT($L$2*E61/F61)</f>
        <v>0.5587839964863857</v>
      </c>
      <c r="M61" s="19"/>
      <c r="O61" s="15">
        <f>D61*0.00254*0.00254</f>
        <v>0.00025543183752240004</v>
      </c>
      <c r="P61" s="15">
        <f>0.53*2^(-A61/3)</f>
        <v>0.0002587890625</v>
      </c>
      <c r="Q61" s="19">
        <f>-3*LOG(D61/80000,2)</f>
        <v>32.94172448159359</v>
      </c>
    </row>
    <row r="62" spans="1:17" ht="12.75">
      <c r="A62" s="12" t="s">
        <v>77</v>
      </c>
      <c r="B62" s="21">
        <v>6.3</v>
      </c>
      <c r="C62" s="14">
        <f>B62*0.0254</f>
        <v>0.16002000000000002</v>
      </c>
      <c r="D62" s="21">
        <f>3.1416*(B62/2)^2</f>
        <v>31.172525999999998</v>
      </c>
      <c r="E62" s="14">
        <f>3.1416*12*B62/1000</f>
        <v>0.23750496</v>
      </c>
      <c r="F62" s="15">
        <f>$F$40/(D62/$D$40)</f>
        <v>0.2613060134740917</v>
      </c>
      <c r="G62" s="15">
        <f>F62+F62*0.006*75</f>
        <v>0.378893719537433</v>
      </c>
      <c r="H62" s="14">
        <f>D62*$H$2</f>
        <v>0.11596179672</v>
      </c>
      <c r="I62" s="5">
        <f>H62^2*F62</f>
        <v>0.003513818101423812</v>
      </c>
      <c r="J62" s="5">
        <f>H62^2*G62</f>
        <v>0.005095036247064528</v>
      </c>
      <c r="K62" s="17">
        <f>$K$40*D62/$D$40</f>
        <v>0.00012004670150122742</v>
      </c>
      <c r="L62" s="25">
        <f>SQRT($L$2*E62/F62)</f>
        <v>0.4670541771302564</v>
      </c>
      <c r="M62" s="19"/>
      <c r="O62" s="15">
        <f>D62*0.00254*0.00254</f>
        <v>0.0002011126687416</v>
      </c>
      <c r="P62" s="15">
        <f>0.53*2^(-A62/3)</f>
        <v>0.000205401015025182</v>
      </c>
      <c r="Q62" s="19">
        <f>-3*LOG(D62/80000,2)</f>
        <v>33.976527657622185</v>
      </c>
    </row>
    <row r="63" spans="1:17" ht="12.75">
      <c r="A63" s="12" t="s">
        <v>78</v>
      </c>
      <c r="B63" s="21">
        <v>5.6</v>
      </c>
      <c r="C63" s="14">
        <f>B63*0.0254</f>
        <v>0.14224</v>
      </c>
      <c r="D63" s="21">
        <f>3.1416*(B63/2)^2</f>
        <v>24.630143999999998</v>
      </c>
      <c r="E63" s="14">
        <f>3.1416*12*B63/1000</f>
        <v>0.21111551999999997</v>
      </c>
      <c r="F63" s="15">
        <f>$F$40/(D63/$D$40)</f>
        <v>0.33071542330314735</v>
      </c>
      <c r="G63" s="15">
        <f>F63+F63*0.006*75</f>
        <v>0.4795373637895637</v>
      </c>
      <c r="H63" s="14">
        <f>D63*$H$2</f>
        <v>0.09162413568</v>
      </c>
      <c r="I63" s="5">
        <f>H63^2*F63</f>
        <v>0.002776350104828691</v>
      </c>
      <c r="J63" s="5">
        <f>H63^2*G63</f>
        <v>0.004025707652001603</v>
      </c>
      <c r="K63" s="17">
        <f>$K$40*D63/$D$40</f>
        <v>9.485171476640191E-05</v>
      </c>
      <c r="L63" s="25">
        <f>SQRT($L$2*E63/F63)</f>
        <v>0.3914159120951789</v>
      </c>
      <c r="M63" s="19"/>
      <c r="O63" s="15">
        <f>D63*0.00254*0.00254</f>
        <v>0.0001589038370304</v>
      </c>
      <c r="P63" s="15">
        <f>0.53*2^(-A63/3)</f>
        <v>0.00016302689366315504</v>
      </c>
      <c r="Q63" s="19">
        <f>-3*LOG(D63/80000,2)</f>
        <v>34.99607766627606</v>
      </c>
    </row>
    <row r="64" spans="1:17" ht="12.75">
      <c r="A64" s="12" t="s">
        <v>79</v>
      </c>
      <c r="B64" s="21">
        <v>5</v>
      </c>
      <c r="C64" s="14">
        <f>B64*0.0254</f>
        <v>0.127</v>
      </c>
      <c r="D64" s="21">
        <f>3.1416*(B64/2)^2</f>
        <v>19.634999999999998</v>
      </c>
      <c r="E64" s="14">
        <f>3.1416*12*B64/1000</f>
        <v>0.18849599999999997</v>
      </c>
      <c r="F64" s="15">
        <f>$F$40/(D64/$D$40)</f>
        <v>0.414849426991468</v>
      </c>
      <c r="G64" s="15">
        <f>F64+F64*0.006*75</f>
        <v>0.6015316691376286</v>
      </c>
      <c r="H64" s="14">
        <f>D64*$H$2</f>
        <v>0.0730422</v>
      </c>
      <c r="I64" s="5">
        <f>H64^2*F64</f>
        <v>0.0022132893055075665</v>
      </c>
      <c r="J64" s="5">
        <f>H64^2*G64</f>
        <v>0.0032092694929859713</v>
      </c>
      <c r="K64" s="17">
        <f>$K$40*D64/$D$40</f>
        <v>7.561520628699133E-05</v>
      </c>
      <c r="L64" s="25">
        <f>SQRT($L$2*E64/F64)</f>
        <v>0.33022613603232215</v>
      </c>
      <c r="M64" s="19"/>
      <c r="O64" s="15">
        <f>D64*0.00254*0.00254</f>
        <v>0.000126677166</v>
      </c>
      <c r="P64" s="15">
        <f>0.53*2^(-A64/3)</f>
        <v>0.00012939453125</v>
      </c>
      <c r="Q64" s="19">
        <f>-3*LOG(D64/80000,2)</f>
        <v>35.97707005997333</v>
      </c>
    </row>
    <row r="65" spans="1:17" ht="12.75">
      <c r="A65" s="12" t="s">
        <v>80</v>
      </c>
      <c r="B65" s="21">
        <v>4.5</v>
      </c>
      <c r="C65" s="14">
        <f>B65*0.0254</f>
        <v>0.11430000000000001</v>
      </c>
      <c r="D65" s="21">
        <f>3.1416*(B65/2)^2</f>
        <v>15.904349999999999</v>
      </c>
      <c r="E65" s="14">
        <f>3.1416*12*B65/1000</f>
        <v>0.1696464</v>
      </c>
      <c r="F65" s="15">
        <f>$F$40/(D65/$D$40)</f>
        <v>0.5121597864092198</v>
      </c>
      <c r="G65" s="15">
        <f>F65+F65*0.006*75</f>
        <v>0.7426316902933687</v>
      </c>
      <c r="H65" s="14">
        <f>D65*$H$2</f>
        <v>0.059164182</v>
      </c>
      <c r="I65" s="5">
        <f>H65^2*F65</f>
        <v>0.001792764337461129</v>
      </c>
      <c r="J65" s="5">
        <f>H65^2*G65</f>
        <v>0.002599508289318637</v>
      </c>
      <c r="K65" s="17">
        <f>$K$40*D65/$D$40</f>
        <v>6.124831709246297E-05</v>
      </c>
      <c r="L65" s="25">
        <f>SQRT($L$2*E65/F65)</f>
        <v>0.2819520178502589</v>
      </c>
      <c r="M65" s="19"/>
      <c r="O65" s="15">
        <f>D65*0.00254*0.00254</f>
        <v>0.00010260850446</v>
      </c>
      <c r="P65" s="15">
        <f>0.53*2^(-A65/3)</f>
        <v>0.000102700507512591</v>
      </c>
      <c r="Q65" s="19">
        <f>-3*LOG(D65/80000,2)</f>
        <v>36.88908862064363</v>
      </c>
    </row>
    <row r="66" spans="1:17" ht="12.75">
      <c r="A66" s="12" t="s">
        <v>81</v>
      </c>
      <c r="B66" s="21">
        <v>4</v>
      </c>
      <c r="C66" s="14">
        <f>B66*0.0254</f>
        <v>0.10160000000000001</v>
      </c>
      <c r="D66" s="21">
        <f>3.1416*(B66/2)^2</f>
        <v>12.5664</v>
      </c>
      <c r="E66" s="14">
        <f>3.1416*12*B66/1000</f>
        <v>0.15079679999999998</v>
      </c>
      <c r="F66" s="15">
        <f>$F$40/(D66/$D$40)</f>
        <v>0.6482022296741687</v>
      </c>
      <c r="G66" s="15">
        <f>F66+F66*0.006*75</f>
        <v>0.9398932330275447</v>
      </c>
      <c r="H66" s="14">
        <f>D66*$H$2</f>
        <v>0.046747008</v>
      </c>
      <c r="I66" s="5">
        <f>H66^2*F66</f>
        <v>0.0014165051555248425</v>
      </c>
      <c r="J66" s="5">
        <f>H66^2*G66</f>
        <v>0.0020539324755110217</v>
      </c>
      <c r="K66" s="17">
        <f>$K$40*D66/$D$40</f>
        <v>4.839373202367445E-05</v>
      </c>
      <c r="L66" s="25">
        <f>SQRT($L$2*E66/F66)</f>
        <v>0.2362905881969168</v>
      </c>
      <c r="M66" s="19"/>
      <c r="O66" s="15">
        <f>D66*0.00254*0.00254</f>
        <v>8.107338624000001E-05</v>
      </c>
      <c r="P66" s="15">
        <f>0.53*2^(-A66/3)</f>
        <v>8.151344683157752E-05</v>
      </c>
      <c r="Q66" s="19">
        <f>-3*LOG(D66/80000,2)</f>
        <v>37.9086386292975</v>
      </c>
    </row>
    <row r="67" spans="1:17" ht="12.75">
      <c r="A67" s="12" t="s">
        <v>82</v>
      </c>
      <c r="B67" s="21">
        <v>3.5</v>
      </c>
      <c r="C67" s="14">
        <f>B67*0.0254</f>
        <v>0.0889</v>
      </c>
      <c r="D67" s="21">
        <f>3.1416*(B67/2)^2</f>
        <v>9.62115</v>
      </c>
      <c r="E67" s="14">
        <f>3.1416*12*B67/1000</f>
        <v>0.1319472</v>
      </c>
      <c r="F67" s="15">
        <f>$F$40/(D67/$D$40)</f>
        <v>0.8466314836560571</v>
      </c>
      <c r="G67" s="15">
        <f>F67+F67*0.006*75</f>
        <v>1.2276156513012828</v>
      </c>
      <c r="H67" s="14">
        <f>D67*$H$2</f>
        <v>0.035790678</v>
      </c>
      <c r="I67" s="5">
        <f>H67^2*F67</f>
        <v>0.0010845117596987074</v>
      </c>
      <c r="J67" s="5">
        <f>H67^2*G67</f>
        <v>0.0015725420515631256</v>
      </c>
      <c r="K67" s="17">
        <f>$K$40*D67/$D$40</f>
        <v>3.705145108062575E-05</v>
      </c>
      <c r="L67" s="25">
        <f>SQRT($L$2*E67/F67)</f>
        <v>0.1934009054145335</v>
      </c>
      <c r="M67" s="19"/>
      <c r="O67" s="15">
        <f>D67*0.00254*0.00254</f>
        <v>6.207181134000001E-05</v>
      </c>
      <c r="P67" s="15">
        <f>0.53*2^(-A67/3)</f>
        <v>6.4697265625E-05</v>
      </c>
      <c r="Q67" s="19">
        <f>-3*LOG(D67/80000,2)</f>
        <v>39.06450909695188</v>
      </c>
    </row>
    <row r="68" spans="1:17" ht="12.75">
      <c r="A68" s="12" t="s">
        <v>83</v>
      </c>
      <c r="B68" s="21">
        <v>3.1</v>
      </c>
      <c r="C68" s="14">
        <f>B68*0.0254</f>
        <v>0.07874</v>
      </c>
      <c r="D68" s="21">
        <f>3.1416*(B68/2)^2</f>
        <v>7.547694000000001</v>
      </c>
      <c r="E68" s="14">
        <f>3.1416*12*B68/1000</f>
        <v>0.11686752</v>
      </c>
      <c r="F68" s="15">
        <f>$F$40/(D68/$D$40)</f>
        <v>1.079212869384672</v>
      </c>
      <c r="G68" s="15">
        <f>F68+F68*0.006*75</f>
        <v>1.5648586606077746</v>
      </c>
      <c r="H68" s="14">
        <f>D68*$H$2</f>
        <v>0.028077421680000006</v>
      </c>
      <c r="I68" s="5">
        <f>H68^2*F68</f>
        <v>0.0008507884090371088</v>
      </c>
      <c r="J68" s="5">
        <f>H68^2*G68</f>
        <v>0.0012336431931038079</v>
      </c>
      <c r="K68" s="17">
        <f>$K$40*D68/$D$40</f>
        <v>2.906648529671947E-05</v>
      </c>
      <c r="L68" s="25">
        <f>SQRT($L$2*E68/F68)</f>
        <v>0.16121259811002603</v>
      </c>
      <c r="M68" s="19"/>
      <c r="O68" s="15">
        <f>D68*0.00254*0.00254</f>
        <v>4.869470261040001E-05</v>
      </c>
      <c r="P68" s="15">
        <f>0.53*2^(-A68/3)</f>
        <v>5.13502537562955E-05</v>
      </c>
      <c r="Q68" s="19">
        <f>-3*LOG(B68^2/100000,2)</f>
        <v>40.035312130313365</v>
      </c>
    </row>
    <row r="69" spans="1:17" ht="12.75">
      <c r="A69" s="26">
        <v>42</v>
      </c>
      <c r="B69" s="21">
        <v>2.47</v>
      </c>
      <c r="C69" s="14">
        <f>B69*0.0254</f>
        <v>0.06273800000000002</v>
      </c>
      <c r="D69" s="21">
        <f>3.1416*(B69/2)^2</f>
        <v>4.791646860000001</v>
      </c>
      <c r="E69" s="14">
        <f>3.1416*12*B69/1000</f>
        <v>0.093117024</v>
      </c>
      <c r="F69" s="15">
        <f>$F$40/(D69/$D$40)</f>
        <v>1.6999517570828397</v>
      </c>
      <c r="G69" s="15">
        <f>F69+F69*0.006*75</f>
        <v>2.4649300477701175</v>
      </c>
      <c r="H69" s="14">
        <f>D69*$H$2</f>
        <v>0.017824926319200005</v>
      </c>
      <c r="I69" s="5">
        <f>H69^2*F69</f>
        <v>0.0005401222689588445</v>
      </c>
      <c r="J69" s="5">
        <f>H69^2*G69</f>
        <v>0.0007831772899903246</v>
      </c>
      <c r="K69" s="17">
        <f>$K$40*D69/$D$40</f>
        <v>1.845283248145222E-05</v>
      </c>
      <c r="L69" s="25">
        <f>SQRT($L$2*E69/F69)</f>
        <v>0.11465734110086702</v>
      </c>
      <c r="M69" s="19"/>
      <c r="O69" s="15">
        <f>D69*0.00254*0.00254</f>
        <v>3.091378888197601E-05</v>
      </c>
      <c r="P69" s="15">
        <f>0.53*2^(-A69/3)</f>
        <v>3.23486328125E-05</v>
      </c>
      <c r="Q69" s="19">
        <f>-3*LOG(B69^2/100000,2)</f>
        <v>42.00185517245072</v>
      </c>
    </row>
    <row r="70" spans="1:17" ht="12.75">
      <c r="A70" s="26">
        <v>44</v>
      </c>
      <c r="B70" s="21">
        <v>2</v>
      </c>
      <c r="C70" s="14">
        <f>B70*0.0254</f>
        <v>0.050800000000000005</v>
      </c>
      <c r="D70" s="21">
        <f>3.1416*(B70/2)^2</f>
        <v>3.1416</v>
      </c>
      <c r="E70" s="14">
        <f>3.1416*12*B70/1000</f>
        <v>0.07539839999999999</v>
      </c>
      <c r="F70" s="15">
        <f>$F$40/(D70/$D$40)</f>
        <v>2.592808918696675</v>
      </c>
      <c r="G70" s="15">
        <f>F70+F70*0.006*75</f>
        <v>3.7595729321101787</v>
      </c>
      <c r="H70" s="14">
        <f>D70*$H$2</f>
        <v>0.011686752</v>
      </c>
      <c r="I70" s="5">
        <f>H70^2*F70</f>
        <v>0.00035412628888121064</v>
      </c>
      <c r="J70" s="5">
        <f>H70^2*G70</f>
        <v>0.0005134831188777554</v>
      </c>
      <c r="K70" s="17">
        <f>$K$40*D70/$D$40</f>
        <v>1.2098433005918612E-05</v>
      </c>
      <c r="L70" s="25">
        <f>SQRT($L$2*E70/F70)</f>
        <v>0.08354133862229893</v>
      </c>
      <c r="M70" s="19"/>
      <c r="O70" s="15">
        <f>D70*0.00254*0.00254</f>
        <v>2.0268346560000003E-05</v>
      </c>
      <c r="P70" s="15">
        <f>0.53*2^(-A70/3)</f>
        <v>2.037836170789438E-05</v>
      </c>
      <c r="Q70" s="19">
        <f>-3*LOG(B70^2/100000,2)</f>
        <v>43.82892142331043</v>
      </c>
    </row>
    <row r="71" spans="1:17" ht="12.75">
      <c r="A71" s="26">
        <v>46</v>
      </c>
      <c r="B71" s="21">
        <v>1.55</v>
      </c>
      <c r="C71" s="14">
        <f>B71*0.0254</f>
        <v>0.03937</v>
      </c>
      <c r="D71" s="21">
        <f>3.1416*(B71/2)^2</f>
        <v>1.8869235000000002</v>
      </c>
      <c r="E71" s="14">
        <f>3.1416*12*B71/1000</f>
        <v>0.05843376</v>
      </c>
      <c r="F71" s="15">
        <f>$F$40/(D71/$D$40)</f>
        <v>4.316851477538688</v>
      </c>
      <c r="G71" s="15">
        <f>F71+F71*0.006*75</f>
        <v>6.259434642431098</v>
      </c>
      <c r="H71" s="14">
        <f>D71*$H$2</f>
        <v>0.0070193554200000015</v>
      </c>
      <c r="I71" s="5">
        <f>H71^2*F71</f>
        <v>0.0002126971022592772</v>
      </c>
      <c r="J71" s="5">
        <f>H71^2*G71</f>
        <v>0.00030841079827595197</v>
      </c>
      <c r="K71" s="17">
        <f>$K$40*D71/$D$40</f>
        <v>7.266621324179867E-06</v>
      </c>
      <c r="L71" s="25">
        <f>SQRT($L$2*E71/F71)</f>
        <v>0.056997260668150494</v>
      </c>
      <c r="M71" s="19"/>
      <c r="O71" s="15">
        <f>D71*0.00254*0.00254</f>
        <v>1.2173675652600002E-05</v>
      </c>
      <c r="P71" s="15">
        <f>0.53*2^(-A71/3)</f>
        <v>1.2837563439073875E-05</v>
      </c>
      <c r="Q71" s="19">
        <f>-3*LOG(B71^2/100000,2)</f>
        <v>46.03531213031336</v>
      </c>
    </row>
    <row r="72" ht="12.75">
      <c r="P72" s="14"/>
    </row>
    <row r="73" ht="12.75">
      <c r="P73" s="14"/>
    </row>
    <row r="74" ht="12.75">
      <c r="P74" s="14"/>
    </row>
    <row r="75" ht="12.75">
      <c r="P75" s="14"/>
    </row>
    <row r="76" ht="12.75">
      <c r="P76" s="14"/>
    </row>
    <row r="77" ht="12.75">
      <c r="P77" s="14"/>
    </row>
    <row r="78" ht="12.75">
      <c r="P78" s="14"/>
    </row>
    <row r="79" ht="12.75">
      <c r="P79" s="14"/>
    </row>
    <row r="80" ht="12.75">
      <c r="P80" s="14"/>
    </row>
    <row r="81" ht="12.75">
      <c r="P81" s="14"/>
    </row>
  </sheetData>
  <sheetProtection selectLockedCells="1" selectUnlockedCells="1"/>
  <printOptions/>
  <pageMargins left="0.5" right="0.5" top="0.75" bottom="0.75" header="0.5118055555555555" footer="0.5118055555555555"/>
  <pageSetup fitToHeight="1" fitToWidth="1" horizontalDpi="300" verticalDpi="300" orientation="landscape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Schoen</cp:lastModifiedBy>
  <cp:lastPrinted>2002-07-19T22:42:48Z</cp:lastPrinted>
  <dcterms:created xsi:type="dcterms:W3CDTF">1996-10-14T22:33:28Z</dcterms:created>
  <dcterms:modified xsi:type="dcterms:W3CDTF">2018-02-25T08:37:13Z</dcterms:modified>
  <cp:category/>
  <cp:version/>
  <cp:contentType/>
  <cp:contentStatus/>
  <cp:revision>18</cp:revision>
</cp:coreProperties>
</file>